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185" windowWidth="16605" windowHeight="8295"/>
  </bookViews>
  <sheets>
    <sheet name="тит.лист" sheetId="11" r:id="rId1"/>
    <sheet name="раздел 2" sheetId="2" r:id="rId2"/>
    <sheet name="Т.1" sheetId="17" r:id="rId3"/>
    <sheet name="Т.2 на 2017" sheetId="25" r:id="rId4"/>
    <sheet name="Т.2 на 2018" sheetId="22" r:id="rId5"/>
    <sheet name="Т.2 на 2019" sheetId="24" r:id="rId6"/>
    <sheet name="Т.2.1" sheetId="12" r:id="rId7"/>
    <sheet name="ф.3" sheetId="5" r:id="rId8"/>
    <sheet name="ф.4" sheetId="7" r:id="rId9"/>
    <sheet name="ф.4 (2)" sheetId="13" r:id="rId10"/>
    <sheet name="ф.4 (3)" sheetId="14" r:id="rId11"/>
    <sheet name="ф.4 (4)" sheetId="15" r:id="rId12"/>
    <sheet name="ф.4 (5)" sheetId="16" r:id="rId13"/>
    <sheet name="ф.4(6)" sheetId="26" r:id="rId14"/>
    <sheet name="ф.5" sheetId="9" r:id="rId15"/>
    <sheet name="ф.6" sheetId="10" r:id="rId16"/>
    <sheet name="Т.3" sheetId="18" r:id="rId17"/>
    <sheet name="Т.4" sheetId="19" r:id="rId18"/>
  </sheets>
  <definedNames>
    <definedName name="_xlnm.Print_Area" localSheetId="15">ф.6!$A$1:$J$38</definedName>
  </definedNames>
  <calcPr calcId="144525"/>
</workbook>
</file>

<file path=xl/calcChain.xml><?xml version="1.0" encoding="utf-8"?>
<calcChain xmlns="http://schemas.openxmlformats.org/spreadsheetml/2006/main">
  <c r="L116" i="12" l="1"/>
  <c r="L110" i="12"/>
  <c r="L104" i="12"/>
  <c r="L62" i="12"/>
  <c r="K19" i="12"/>
  <c r="L75" i="12"/>
  <c r="L72" i="12"/>
  <c r="L121" i="12"/>
  <c r="L108" i="12"/>
  <c r="H27" i="10" l="1"/>
  <c r="H22" i="10"/>
  <c r="H19" i="10"/>
  <c r="H18" i="10"/>
  <c r="H16" i="10"/>
  <c r="H32" i="10"/>
  <c r="H31" i="10"/>
  <c r="H29" i="10"/>
  <c r="H10" i="10"/>
  <c r="H6" i="10"/>
  <c r="B24" i="17" l="1"/>
  <c r="B14" i="17"/>
  <c r="D19" i="12" l="1"/>
  <c r="F33" i="25"/>
  <c r="F22" i="25"/>
  <c r="H13" i="15"/>
  <c r="G9" i="7"/>
  <c r="H12" i="26"/>
  <c r="H11" i="26" s="1"/>
  <c r="G14" i="26"/>
  <c r="G13" i="26"/>
  <c r="G10" i="26"/>
  <c r="G9" i="26"/>
  <c r="G11" i="26" l="1"/>
  <c r="G12" i="26"/>
  <c r="H19" i="15"/>
  <c r="H12" i="7"/>
  <c r="L73" i="12" l="1"/>
  <c r="F52" i="25"/>
  <c r="H9" i="14"/>
  <c r="H25" i="14"/>
  <c r="H15" i="14"/>
  <c r="H16" i="14"/>
  <c r="F100" i="12" l="1"/>
  <c r="E100" i="12"/>
  <c r="D100" i="12"/>
  <c r="F89" i="12"/>
  <c r="E89" i="12"/>
  <c r="D89" i="12"/>
  <c r="F67" i="12"/>
  <c r="E67" i="12"/>
  <c r="D67" i="12"/>
  <c r="L70" i="12"/>
  <c r="F123" i="12"/>
  <c r="E123" i="12"/>
  <c r="D123" i="12"/>
  <c r="F96" i="12" l="1"/>
  <c r="E96" i="12"/>
  <c r="D96" i="12"/>
  <c r="F34" i="25"/>
  <c r="H29" i="13"/>
  <c r="H34" i="13"/>
  <c r="H36" i="15"/>
  <c r="H41" i="15"/>
  <c r="H9" i="16"/>
  <c r="H13" i="16"/>
  <c r="L113" i="12" l="1"/>
  <c r="L46" i="12"/>
  <c r="H12" i="14"/>
  <c r="H32" i="15"/>
  <c r="G21" i="25"/>
  <c r="G12" i="25"/>
  <c r="H26" i="10"/>
  <c r="H14" i="10"/>
  <c r="F34" i="12" l="1"/>
  <c r="E34" i="12"/>
  <c r="D34" i="12"/>
  <c r="L33" i="12"/>
  <c r="D33" i="12" s="1"/>
  <c r="F33" i="12"/>
  <c r="E33" i="12"/>
  <c r="F32" i="12"/>
  <c r="E32" i="12"/>
  <c r="D32" i="12"/>
  <c r="B113" i="12" l="1"/>
  <c r="B114" i="12" s="1"/>
  <c r="B115" i="12" s="1"/>
  <c r="B116" i="12" s="1"/>
  <c r="B117" i="12" s="1"/>
  <c r="B118" i="12" s="1"/>
  <c r="B119" i="12" s="1"/>
  <c r="B120" i="12" s="1"/>
  <c r="B121" i="12" s="1"/>
  <c r="B122" i="12" s="1"/>
  <c r="B123" i="12" s="1"/>
  <c r="B124" i="12" s="1"/>
  <c r="B78" i="12"/>
  <c r="B79" i="12" s="1"/>
  <c r="B80" i="12" s="1"/>
  <c r="B81" i="12" s="1"/>
  <c r="B82" i="12" s="1"/>
  <c r="B83" i="12" s="1"/>
  <c r="B84" i="12" s="1"/>
  <c r="B85" i="12" s="1"/>
  <c r="B86" i="12" s="1"/>
  <c r="B87" i="12" s="1"/>
  <c r="B88" i="12" s="1"/>
  <c r="B73" i="12"/>
  <c r="B74" i="12" s="1"/>
  <c r="B75" i="12" s="1"/>
  <c r="B49" i="12"/>
  <c r="B50" i="12" s="1"/>
  <c r="B51" i="12" s="1"/>
  <c r="B52" i="12" s="1"/>
  <c r="B53" i="12" s="1"/>
  <c r="B54" i="12" s="1"/>
  <c r="B55" i="12" s="1"/>
  <c r="B56" i="12" s="1"/>
  <c r="B57" i="12" s="1"/>
  <c r="B58" i="12" s="1"/>
  <c r="B59" i="12" s="1"/>
  <c r="B60" i="12" s="1"/>
  <c r="B61" i="12" s="1"/>
  <c r="B62" i="12" s="1"/>
  <c r="B63" i="12" s="1"/>
  <c r="B64" i="12" s="1"/>
  <c r="B65" i="12" s="1"/>
  <c r="B66" i="12" s="1"/>
  <c r="B67" i="12" s="1"/>
  <c r="B68" i="12" s="1"/>
  <c r="B69" i="12" s="1"/>
  <c r="B70" i="12" s="1"/>
  <c r="B31" i="12"/>
  <c r="B32" i="12" s="1"/>
  <c r="B33" i="12" s="1"/>
  <c r="B34" i="12" s="1"/>
  <c r="B35" i="12" s="1"/>
  <c r="B22" i="12"/>
  <c r="B23" i="12" s="1"/>
  <c r="B24" i="12" s="1"/>
  <c r="B25" i="12" s="1"/>
  <c r="B26" i="12" s="1"/>
  <c r="B27" i="12" s="1"/>
  <c r="B28" i="12" s="1"/>
  <c r="M20" i="12"/>
  <c r="N20" i="12"/>
  <c r="L20" i="12"/>
  <c r="M29" i="12"/>
  <c r="N29" i="12"/>
  <c r="L29" i="12"/>
  <c r="M36" i="12"/>
  <c r="N36" i="12"/>
  <c r="L36" i="12"/>
  <c r="F26" i="12"/>
  <c r="E26" i="12"/>
  <c r="D26" i="12"/>
  <c r="F31" i="12"/>
  <c r="E31" i="12"/>
  <c r="D31" i="12"/>
  <c r="F30" i="12"/>
  <c r="E30" i="12"/>
  <c r="D30" i="12"/>
  <c r="F25" i="12"/>
  <c r="E25" i="12"/>
  <c r="D25" i="12"/>
  <c r="F24" i="12"/>
  <c r="E24" i="12"/>
  <c r="D24" i="12"/>
  <c r="F23" i="12"/>
  <c r="E23" i="12"/>
  <c r="D23" i="12"/>
  <c r="F37" i="12"/>
  <c r="E37" i="12"/>
  <c r="D37" i="12"/>
  <c r="F21" i="12"/>
  <c r="E21" i="12"/>
  <c r="D21" i="12"/>
  <c r="B89" i="12" l="1"/>
  <c r="B90" i="12" s="1"/>
  <c r="B91" i="12" s="1"/>
  <c r="B92" i="12" s="1"/>
  <c r="B93" i="12" s="1"/>
  <c r="B94" i="12" s="1"/>
  <c r="B95" i="12" s="1"/>
  <c r="B96" i="12" s="1"/>
  <c r="B97" i="12" s="1"/>
  <c r="B98" i="12" s="1"/>
  <c r="B99" i="12" s="1"/>
  <c r="B100" i="12" s="1"/>
  <c r="B101" i="12" s="1"/>
  <c r="B102" i="12" s="1"/>
  <c r="B103" i="12" s="1"/>
  <c r="B104" i="12" s="1"/>
  <c r="B105" i="12" s="1"/>
  <c r="B106" i="12" s="1"/>
  <c r="B107" i="12" s="1"/>
  <c r="B108" i="12" s="1"/>
  <c r="F46" i="12"/>
  <c r="E46" i="12"/>
  <c r="N42" i="12"/>
  <c r="M42" i="12"/>
  <c r="F36" i="25"/>
  <c r="E11" i="25"/>
  <c r="G11" i="25"/>
  <c r="E26" i="25"/>
  <c r="F49" i="25"/>
  <c r="F47" i="24"/>
  <c r="L105" i="12"/>
  <c r="L119" i="12"/>
  <c r="K41" i="12"/>
  <c r="E61" i="5"/>
  <c r="E60" i="5"/>
  <c r="E59" i="5"/>
  <c r="H58" i="5"/>
  <c r="G58" i="5"/>
  <c r="F58" i="5"/>
  <c r="E58" i="5" s="1"/>
  <c r="F57" i="5"/>
  <c r="E57" i="5"/>
  <c r="E56" i="5"/>
  <c r="E55" i="5"/>
  <c r="E54" i="5"/>
  <c r="H53" i="5"/>
  <c r="G53" i="5"/>
  <c r="F53" i="5"/>
  <c r="E53" i="5" s="1"/>
  <c r="E52" i="5"/>
  <c r="H51" i="5"/>
  <c r="G51" i="5"/>
  <c r="F51" i="5"/>
  <c r="E51" i="5" s="1"/>
  <c r="E50" i="5"/>
  <c r="E49" i="5"/>
  <c r="E48" i="5"/>
  <c r="E47" i="5"/>
  <c r="E46" i="5"/>
  <c r="F45" i="5"/>
  <c r="E45" i="5"/>
  <c r="E44" i="5"/>
  <c r="H43" i="5"/>
  <c r="G43" i="5"/>
  <c r="F43" i="5"/>
  <c r="E43" i="5" s="1"/>
  <c r="H42" i="5"/>
  <c r="G42" i="5"/>
  <c r="F42" i="5"/>
  <c r="E42" i="5" s="1"/>
  <c r="F41" i="5"/>
  <c r="E41" i="5" s="1"/>
  <c r="F40" i="5"/>
  <c r="E40" i="5" s="1"/>
  <c r="F39" i="5"/>
  <c r="E39" i="5" s="1"/>
  <c r="H38" i="5"/>
  <c r="G38" i="5"/>
  <c r="F38" i="5"/>
  <c r="E38" i="5" s="1"/>
  <c r="H37" i="5"/>
  <c r="G37" i="5"/>
  <c r="F37" i="5"/>
  <c r="E37" i="5" s="1"/>
  <c r="F36" i="5"/>
  <c r="E36" i="5" s="1"/>
  <c r="E35" i="5"/>
  <c r="F30" i="5"/>
  <c r="F25" i="5"/>
  <c r="F10" i="5"/>
  <c r="F17" i="5"/>
  <c r="F12" i="5"/>
  <c r="J26" i="13"/>
  <c r="I26" i="13"/>
  <c r="H26" i="13"/>
  <c r="G26" i="13" s="1"/>
  <c r="J27" i="13"/>
  <c r="I27" i="13"/>
  <c r="H27" i="13"/>
  <c r="G30" i="13"/>
  <c r="J30" i="13"/>
  <c r="I30" i="13"/>
  <c r="H30" i="13"/>
  <c r="G31" i="13"/>
  <c r="J31" i="13"/>
  <c r="I31" i="13"/>
  <c r="H31" i="13"/>
  <c r="H11" i="13"/>
  <c r="I33" i="15"/>
  <c r="J33" i="15"/>
  <c r="H33" i="15"/>
  <c r="G33" i="15" s="1"/>
  <c r="G37" i="15"/>
  <c r="J37" i="15"/>
  <c r="I37" i="15"/>
  <c r="H37" i="15"/>
  <c r="G38" i="15"/>
  <c r="J38" i="15"/>
  <c r="I38" i="15"/>
  <c r="H38" i="15"/>
  <c r="G34" i="15"/>
  <c r="I34" i="15"/>
  <c r="J34" i="15"/>
  <c r="H34" i="15"/>
  <c r="I25" i="13"/>
  <c r="J25" i="13"/>
  <c r="G10" i="13"/>
  <c r="J10" i="13"/>
  <c r="I10" i="13"/>
  <c r="H10" i="13"/>
  <c r="G11" i="13"/>
  <c r="J11" i="13"/>
  <c r="I11" i="13"/>
  <c r="G12" i="13"/>
  <c r="J12" i="13"/>
  <c r="I12" i="13"/>
  <c r="H12" i="13"/>
  <c r="J10" i="14"/>
  <c r="I10" i="14"/>
  <c r="J24" i="14"/>
  <c r="I24" i="14"/>
  <c r="H24" i="14"/>
  <c r="G24" i="14" s="1"/>
  <c r="J13" i="14"/>
  <c r="I13" i="14"/>
  <c r="G15" i="14"/>
  <c r="H14" i="14"/>
  <c r="G14" i="14" s="1"/>
  <c r="J14" i="14"/>
  <c r="I14" i="14"/>
  <c r="J17" i="14"/>
  <c r="J19" i="14"/>
  <c r="I19" i="14"/>
  <c r="I17" i="14" s="1"/>
  <c r="H23" i="14"/>
  <c r="H21" i="14"/>
  <c r="H19" i="14" s="1"/>
  <c r="H17" i="14" s="1"/>
  <c r="J30" i="15"/>
  <c r="I30" i="15"/>
  <c r="J31" i="15"/>
  <c r="I31" i="15"/>
  <c r="H31" i="15"/>
  <c r="G31" i="15" s="1"/>
  <c r="J40" i="15"/>
  <c r="I40" i="15"/>
  <c r="H40" i="15"/>
  <c r="G40" i="15" s="1"/>
  <c r="G9" i="16"/>
  <c r="J10" i="16"/>
  <c r="I10" i="16"/>
  <c r="I11" i="16"/>
  <c r="J11" i="16"/>
  <c r="J12" i="16"/>
  <c r="I12" i="16"/>
  <c r="H12" i="16"/>
  <c r="H11" i="16" s="1"/>
  <c r="G23" i="16"/>
  <c r="G24" i="16"/>
  <c r="J24" i="16"/>
  <c r="I24" i="16"/>
  <c r="H24" i="16"/>
  <c r="G25" i="16"/>
  <c r="J25" i="16"/>
  <c r="I25" i="16"/>
  <c r="H25" i="16"/>
  <c r="G26" i="16"/>
  <c r="J26" i="16"/>
  <c r="I26" i="16"/>
  <c r="H26" i="16"/>
  <c r="J10" i="15"/>
  <c r="I10" i="15"/>
  <c r="J11" i="15"/>
  <c r="I11" i="15"/>
  <c r="J12" i="15"/>
  <c r="I12" i="15"/>
  <c r="H12" i="15"/>
  <c r="G14" i="15"/>
  <c r="J15" i="15"/>
  <c r="I15" i="15"/>
  <c r="J16" i="15"/>
  <c r="I16" i="15"/>
  <c r="H16" i="15"/>
  <c r="G16" i="15" s="1"/>
  <c r="G32" i="15"/>
  <c r="H15" i="15" l="1"/>
  <c r="G15" i="15" s="1"/>
  <c r="H11" i="15"/>
  <c r="G11" i="15" s="1"/>
  <c r="G12" i="15"/>
  <c r="H13" i="14"/>
  <c r="G13" i="14" s="1"/>
  <c r="G11" i="16"/>
  <c r="H10" i="16"/>
  <c r="G10" i="16" s="1"/>
  <c r="G12" i="16"/>
  <c r="H30" i="15"/>
  <c r="G30" i="15" s="1"/>
  <c r="D46" i="12"/>
  <c r="K42" i="12"/>
  <c r="F13" i="5" l="1"/>
  <c r="F11" i="5"/>
  <c r="E31" i="25" s="1"/>
  <c r="D31" i="25" s="1"/>
  <c r="N75" i="12" l="1"/>
  <c r="M75" i="12"/>
  <c r="N72" i="12"/>
  <c r="M72" i="12"/>
  <c r="N108" i="12"/>
  <c r="M108" i="12"/>
  <c r="L76" i="12"/>
  <c r="N120" i="12"/>
  <c r="M120" i="12"/>
  <c r="L120" i="12"/>
  <c r="N121" i="12"/>
  <c r="M121" i="12"/>
  <c r="L71" i="12" l="1"/>
  <c r="D72" i="25"/>
  <c r="F8" i="5"/>
  <c r="F29" i="5"/>
  <c r="J9" i="15"/>
  <c r="I9" i="15"/>
  <c r="H9" i="15"/>
  <c r="J17" i="15"/>
  <c r="J14" i="15"/>
  <c r="I14" i="15"/>
  <c r="D68" i="25" l="1"/>
  <c r="E71" i="25"/>
  <c r="E67" i="25"/>
  <c r="G71" i="25"/>
  <c r="G67" i="25"/>
  <c r="F67" i="25"/>
  <c r="F71" i="25"/>
  <c r="F49" i="24"/>
  <c r="D67" i="25" l="1"/>
  <c r="D71" i="25"/>
  <c r="G65" i="25"/>
  <c r="D65" i="25" s="1"/>
  <c r="G61" i="25"/>
  <c r="G59" i="25" s="1"/>
  <c r="G57" i="25"/>
  <c r="G55" i="25" s="1"/>
  <c r="G54" i="25" s="1"/>
  <c r="G51" i="25"/>
  <c r="G48" i="25"/>
  <c r="G46" i="25"/>
  <c r="G18" i="25"/>
  <c r="D12" i="25"/>
  <c r="F51" i="25"/>
  <c r="F50" i="25"/>
  <c r="F35" i="25"/>
  <c r="E63" i="25"/>
  <c r="E61" i="25"/>
  <c r="E59" i="25" s="1"/>
  <c r="E52" i="25"/>
  <c r="E51" i="25"/>
  <c r="E50" i="25"/>
  <c r="E49" i="25"/>
  <c r="E48" i="25"/>
  <c r="E47" i="25"/>
  <c r="E46" i="25"/>
  <c r="E45" i="25"/>
  <c r="G35" i="25"/>
  <c r="E35" i="25"/>
  <c r="E34" i="25"/>
  <c r="D34" i="25" s="1"/>
  <c r="E33" i="25"/>
  <c r="E19" i="25"/>
  <c r="D19" i="25" s="1"/>
  <c r="F64" i="25"/>
  <c r="E64" i="25"/>
  <c r="F62" i="25"/>
  <c r="F59" i="25"/>
  <c r="E55" i="25"/>
  <c r="E54" i="25" s="1"/>
  <c r="D43" i="25"/>
  <c r="D42" i="25"/>
  <c r="G40" i="25"/>
  <c r="F40" i="25"/>
  <c r="E40" i="25"/>
  <c r="D24" i="25"/>
  <c r="D23" i="25"/>
  <c r="D21" i="25"/>
  <c r="D18" i="25"/>
  <c r="D15" i="25"/>
  <c r="K18" i="12"/>
  <c r="G63" i="24"/>
  <c r="D63" i="24" s="1"/>
  <c r="G61" i="24"/>
  <c r="D61" i="24" s="1"/>
  <c r="G59" i="24"/>
  <c r="G55" i="24"/>
  <c r="G50" i="24"/>
  <c r="G49" i="24"/>
  <c r="G48" i="24"/>
  <c r="G47" i="24"/>
  <c r="G46" i="24"/>
  <c r="G45" i="24"/>
  <c r="G44" i="24"/>
  <c r="G43" i="24"/>
  <c r="G33" i="24"/>
  <c r="G29" i="24" s="1"/>
  <c r="G27" i="24" s="1"/>
  <c r="G18" i="24"/>
  <c r="G12" i="24"/>
  <c r="E61" i="24"/>
  <c r="E60" i="24" s="1"/>
  <c r="E59" i="24"/>
  <c r="E57" i="24" s="1"/>
  <c r="E50" i="24"/>
  <c r="E49" i="24"/>
  <c r="E48" i="24"/>
  <c r="E47" i="24"/>
  <c r="E46" i="24"/>
  <c r="E45" i="24"/>
  <c r="E44" i="24"/>
  <c r="D44" i="24" s="1"/>
  <c r="E43" i="24"/>
  <c r="D43" i="24" s="1"/>
  <c r="F55" i="24"/>
  <c r="D55" i="24" s="1"/>
  <c r="F48" i="24"/>
  <c r="F34" i="24"/>
  <c r="F33" i="24"/>
  <c r="D33" i="24" s="1"/>
  <c r="F22" i="24"/>
  <c r="D22" i="24" s="1"/>
  <c r="E34" i="24"/>
  <c r="E33" i="24"/>
  <c r="E31" i="24"/>
  <c r="D31" i="24" s="1"/>
  <c r="E19" i="24"/>
  <c r="D19" i="24" s="1"/>
  <c r="G62" i="24"/>
  <c r="F62" i="24"/>
  <c r="E62" i="24"/>
  <c r="D62" i="24" s="1"/>
  <c r="F60" i="24"/>
  <c r="G57" i="24"/>
  <c r="F57" i="24"/>
  <c r="F56" i="24" s="1"/>
  <c r="E53" i="24"/>
  <c r="G52" i="24"/>
  <c r="E52" i="24"/>
  <c r="D50" i="24"/>
  <c r="D46" i="24"/>
  <c r="D41" i="24"/>
  <c r="D40" i="24"/>
  <c r="G38" i="24"/>
  <c r="F38" i="24"/>
  <c r="E38" i="24"/>
  <c r="D38" i="24" s="1"/>
  <c r="D34" i="24"/>
  <c r="F29" i="24"/>
  <c r="F27" i="24" s="1"/>
  <c r="D24" i="24"/>
  <c r="D23" i="24"/>
  <c r="D21" i="24"/>
  <c r="D18" i="24"/>
  <c r="D15" i="24"/>
  <c r="G14" i="24"/>
  <c r="D14" i="24" s="1"/>
  <c r="D12" i="24"/>
  <c r="E11" i="24"/>
  <c r="D46" i="22"/>
  <c r="D50" i="22"/>
  <c r="D41" i="22"/>
  <c r="D40" i="22"/>
  <c r="D34" i="22"/>
  <c r="D31" i="22"/>
  <c r="D24" i="22"/>
  <c r="D23" i="22"/>
  <c r="D21" i="22"/>
  <c r="D15" i="22"/>
  <c r="G52" i="22"/>
  <c r="G62" i="22"/>
  <c r="G57" i="22"/>
  <c r="G63" i="22"/>
  <c r="D63" i="22" s="1"/>
  <c r="G61" i="22"/>
  <c r="G60" i="22" s="1"/>
  <c r="G59" i="22"/>
  <c r="G55" i="22"/>
  <c r="G50" i="22"/>
  <c r="G49" i="22"/>
  <c r="G48" i="22"/>
  <c r="G47" i="22"/>
  <c r="G46" i="22"/>
  <c r="G45" i="22"/>
  <c r="G43" i="22"/>
  <c r="G44" i="22"/>
  <c r="D44" i="22" s="1"/>
  <c r="G38" i="22"/>
  <c r="G33" i="22"/>
  <c r="G29" i="22" s="1"/>
  <c r="G27" i="22" s="1"/>
  <c r="G18" i="22"/>
  <c r="D18" i="22" s="1"/>
  <c r="G12" i="22"/>
  <c r="D12" i="22" s="1"/>
  <c r="F62" i="22"/>
  <c r="F60" i="22"/>
  <c r="F57" i="22"/>
  <c r="F55" i="22"/>
  <c r="F53" i="22" s="1"/>
  <c r="F52" i="22" s="1"/>
  <c r="F49" i="22"/>
  <c r="D49" i="22" s="1"/>
  <c r="F48" i="22"/>
  <c r="F47" i="22"/>
  <c r="F38" i="22"/>
  <c r="E38" i="22"/>
  <c r="D38" i="22" s="1"/>
  <c r="F34" i="22"/>
  <c r="F33" i="22"/>
  <c r="F29" i="22" s="1"/>
  <c r="F27" i="22" s="1"/>
  <c r="F22" i="22"/>
  <c r="F11" i="22" s="1"/>
  <c r="E62" i="22"/>
  <c r="D62" i="22" s="1"/>
  <c r="E61" i="22"/>
  <c r="D61" i="22" s="1"/>
  <c r="E59" i="22"/>
  <c r="E57" i="22" s="1"/>
  <c r="E53" i="22"/>
  <c r="E52" i="22" s="1"/>
  <c r="E50" i="22"/>
  <c r="E49" i="22"/>
  <c r="E48" i="22"/>
  <c r="E47" i="22"/>
  <c r="D47" i="22" s="1"/>
  <c r="E46" i="22"/>
  <c r="E45" i="22"/>
  <c r="D45" i="22" s="1"/>
  <c r="E44" i="22"/>
  <c r="E43" i="22"/>
  <c r="E34" i="22"/>
  <c r="E33" i="22"/>
  <c r="D33" i="22" s="1"/>
  <c r="E31" i="22"/>
  <c r="E19" i="22"/>
  <c r="E11" i="22" s="1"/>
  <c r="F29" i="25" l="1"/>
  <c r="F27" i="25" s="1"/>
  <c r="D22" i="25"/>
  <c r="F11" i="25"/>
  <c r="D48" i="24"/>
  <c r="G56" i="22"/>
  <c r="E56" i="22"/>
  <c r="D56" i="22" s="1"/>
  <c r="D57" i="22"/>
  <c r="D19" i="22"/>
  <c r="D59" i="22"/>
  <c r="F53" i="24"/>
  <c r="F52" i="24" s="1"/>
  <c r="E29" i="22"/>
  <c r="E60" i="22"/>
  <c r="D60" i="22" s="1"/>
  <c r="D48" i="22"/>
  <c r="G14" i="22"/>
  <c r="D14" i="22" s="1"/>
  <c r="D43" i="22"/>
  <c r="E29" i="24"/>
  <c r="G60" i="24"/>
  <c r="D60" i="24" s="1"/>
  <c r="E29" i="25"/>
  <c r="D52" i="22"/>
  <c r="G11" i="22"/>
  <c r="D11" i="22" s="1"/>
  <c r="D45" i="24"/>
  <c r="D40" i="25"/>
  <c r="F58" i="25"/>
  <c r="D53" i="22"/>
  <c r="D22" i="22"/>
  <c r="D55" i="22"/>
  <c r="D35" i="25"/>
  <c r="D59" i="25"/>
  <c r="D51" i="25"/>
  <c r="G64" i="25"/>
  <c r="D64" i="25" s="1"/>
  <c r="D46" i="25"/>
  <c r="G14" i="25"/>
  <c r="D14" i="25" s="1"/>
  <c r="D48" i="25"/>
  <c r="D61" i="25"/>
  <c r="E62" i="25"/>
  <c r="E58" i="25" s="1"/>
  <c r="G11" i="24"/>
  <c r="D59" i="24"/>
  <c r="D53" i="24"/>
  <c r="D52" i="24"/>
  <c r="D49" i="24"/>
  <c r="D47" i="24"/>
  <c r="D29" i="24"/>
  <c r="D57" i="24"/>
  <c r="E56" i="24"/>
  <c r="E27" i="24"/>
  <c r="D27" i="24" s="1"/>
  <c r="G56" i="24"/>
  <c r="F11" i="24"/>
  <c r="D11" i="24" s="1"/>
  <c r="F56" i="22"/>
  <c r="G49" i="25"/>
  <c r="D49" i="25" s="1"/>
  <c r="G50" i="25"/>
  <c r="D50" i="25" s="1"/>
  <c r="H25" i="10"/>
  <c r="G52" i="25"/>
  <c r="D52" i="25" s="1"/>
  <c r="J28" i="10"/>
  <c r="I28" i="10"/>
  <c r="H28" i="10"/>
  <c r="G29" i="10"/>
  <c r="E27" i="22" l="1"/>
  <c r="D27" i="22" s="1"/>
  <c r="D29" i="22"/>
  <c r="E27" i="25"/>
  <c r="D11" i="25"/>
  <c r="D56" i="24"/>
  <c r="G28" i="10"/>
  <c r="G47" i="25"/>
  <c r="D47" i="25" s="1"/>
  <c r="G45" i="25"/>
  <c r="G33" i="25"/>
  <c r="H5" i="10"/>
  <c r="G10" i="25" s="1"/>
  <c r="D10" i="25" s="1"/>
  <c r="G29" i="25" l="1"/>
  <c r="D33" i="25"/>
  <c r="D45" i="25"/>
  <c r="G27" i="25" l="1"/>
  <c r="D29" i="25"/>
  <c r="D36" i="25"/>
  <c r="F113" i="12"/>
  <c r="F114" i="12"/>
  <c r="F115" i="12"/>
  <c r="F116" i="12"/>
  <c r="F117" i="12"/>
  <c r="F118" i="12"/>
  <c r="F119" i="12"/>
  <c r="F120" i="12"/>
  <c r="F121" i="12"/>
  <c r="F122" i="12"/>
  <c r="E113" i="12"/>
  <c r="E114" i="12"/>
  <c r="E115" i="12"/>
  <c r="E116" i="12"/>
  <c r="E117" i="12"/>
  <c r="E118" i="12"/>
  <c r="E119" i="12"/>
  <c r="E120" i="12"/>
  <c r="E121" i="12"/>
  <c r="E122" i="12"/>
  <c r="E124" i="12"/>
  <c r="F110" i="12"/>
  <c r="E110" i="12"/>
  <c r="F78" i="12"/>
  <c r="F79" i="12"/>
  <c r="F80" i="12"/>
  <c r="F81" i="12"/>
  <c r="F82" i="12"/>
  <c r="F83" i="12"/>
  <c r="F84" i="12"/>
  <c r="F85" i="12"/>
  <c r="F86" i="12"/>
  <c r="F87" i="12"/>
  <c r="F88" i="12"/>
  <c r="F90" i="12"/>
  <c r="F35" i="12"/>
  <c r="F91" i="12"/>
  <c r="F92" i="12"/>
  <c r="F93" i="12"/>
  <c r="F94" i="12"/>
  <c r="F95" i="12"/>
  <c r="F97" i="12"/>
  <c r="F98" i="12"/>
  <c r="F99" i="12"/>
  <c r="F101" i="12"/>
  <c r="F102" i="12"/>
  <c r="F103" i="12"/>
  <c r="F104" i="12"/>
  <c r="F105" i="12"/>
  <c r="F106" i="12"/>
  <c r="F107" i="12"/>
  <c r="F108" i="12"/>
  <c r="E78" i="12"/>
  <c r="E79" i="12"/>
  <c r="E80" i="12"/>
  <c r="E81" i="12"/>
  <c r="E82" i="12"/>
  <c r="E83" i="12"/>
  <c r="E84" i="12"/>
  <c r="E85" i="12"/>
  <c r="E86" i="12"/>
  <c r="E87" i="12"/>
  <c r="E88" i="12"/>
  <c r="E90" i="12"/>
  <c r="E35" i="12"/>
  <c r="E91" i="12"/>
  <c r="E92" i="12"/>
  <c r="E93" i="12"/>
  <c r="E94" i="12"/>
  <c r="E95" i="12"/>
  <c r="E97" i="12"/>
  <c r="E98" i="12"/>
  <c r="E99" i="12"/>
  <c r="E101" i="12"/>
  <c r="E102" i="12"/>
  <c r="E103" i="12"/>
  <c r="E104" i="12"/>
  <c r="E105" i="12"/>
  <c r="E106" i="12"/>
  <c r="E107" i="12"/>
  <c r="E108" i="12"/>
  <c r="F44" i="12"/>
  <c r="F45" i="12"/>
  <c r="E44" i="12"/>
  <c r="E45" i="12"/>
  <c r="F43" i="12"/>
  <c r="E43" i="12"/>
  <c r="F41" i="12"/>
  <c r="E41" i="12"/>
  <c r="D17" i="12"/>
  <c r="F74" i="12"/>
  <c r="E74" i="12"/>
  <c r="F49" i="12"/>
  <c r="F51" i="12"/>
  <c r="F52" i="12"/>
  <c r="F53" i="12"/>
  <c r="F54" i="12"/>
  <c r="F55" i="12"/>
  <c r="F56" i="12"/>
  <c r="F28" i="12"/>
  <c r="F57" i="12"/>
  <c r="F58" i="12"/>
  <c r="F59" i="12"/>
  <c r="F22" i="12"/>
  <c r="F60" i="12"/>
  <c r="F27" i="12"/>
  <c r="F61" i="12"/>
  <c r="F62" i="12"/>
  <c r="F63" i="12"/>
  <c r="F65" i="12"/>
  <c r="F68" i="12"/>
  <c r="F69" i="12"/>
  <c r="F70" i="12"/>
  <c r="F48" i="12"/>
  <c r="E49" i="12"/>
  <c r="E51" i="12"/>
  <c r="E52" i="12"/>
  <c r="E53" i="12"/>
  <c r="E54" i="12"/>
  <c r="E55" i="12"/>
  <c r="E56" i="12"/>
  <c r="E28" i="12"/>
  <c r="E57" i="12"/>
  <c r="E58" i="12"/>
  <c r="E59" i="12"/>
  <c r="E22" i="12"/>
  <c r="E60" i="12"/>
  <c r="E27" i="12"/>
  <c r="E61" i="12"/>
  <c r="E62" i="12"/>
  <c r="E63" i="12"/>
  <c r="E65" i="12"/>
  <c r="E66" i="12"/>
  <c r="E68" i="12"/>
  <c r="E69" i="12"/>
  <c r="E70" i="12"/>
  <c r="E48" i="12"/>
  <c r="D48" i="12"/>
  <c r="E42" i="12" l="1"/>
  <c r="D27" i="25"/>
  <c r="N124" i="12"/>
  <c r="F124" i="12" s="1"/>
  <c r="D124" i="12"/>
  <c r="D122" i="12"/>
  <c r="D121" i="12"/>
  <c r="D120" i="12"/>
  <c r="D119" i="12"/>
  <c r="D118" i="12"/>
  <c r="D117" i="12"/>
  <c r="D116" i="12"/>
  <c r="D115" i="12"/>
  <c r="D114" i="12"/>
  <c r="D113" i="12"/>
  <c r="F112" i="12"/>
  <c r="E112" i="12"/>
  <c r="D112" i="12"/>
  <c r="M111" i="12"/>
  <c r="E111" i="12" s="1"/>
  <c r="L111" i="12"/>
  <c r="D111" i="12" s="1"/>
  <c r="K111" i="12"/>
  <c r="J111" i="12"/>
  <c r="I111" i="12"/>
  <c r="H111" i="12"/>
  <c r="G111" i="12"/>
  <c r="D110" i="12"/>
  <c r="N109" i="12"/>
  <c r="M109" i="12"/>
  <c r="L109" i="12"/>
  <c r="K109" i="12"/>
  <c r="J109" i="12"/>
  <c r="I109" i="12"/>
  <c r="H109" i="12"/>
  <c r="G109" i="12"/>
  <c r="F109" i="12"/>
  <c r="E109" i="12"/>
  <c r="D109" i="12"/>
  <c r="D108" i="12"/>
  <c r="D107" i="12"/>
  <c r="D106" i="12"/>
  <c r="D105" i="12"/>
  <c r="D104" i="12"/>
  <c r="D103" i="12"/>
  <c r="D102" i="12"/>
  <c r="D101" i="12"/>
  <c r="D99" i="12"/>
  <c r="D98" i="12"/>
  <c r="D97" i="12"/>
  <c r="D95" i="12"/>
  <c r="D94" i="12"/>
  <c r="D93" i="12"/>
  <c r="D92" i="12"/>
  <c r="D91" i="12"/>
  <c r="D35" i="12"/>
  <c r="D90" i="12"/>
  <c r="D88" i="12"/>
  <c r="D87" i="12"/>
  <c r="D86" i="12"/>
  <c r="D85" i="12"/>
  <c r="D84" i="12"/>
  <c r="D83" i="12"/>
  <c r="D82" i="12"/>
  <c r="D81" i="12"/>
  <c r="D80" i="12"/>
  <c r="D79" i="12"/>
  <c r="D78" i="12"/>
  <c r="N77" i="12"/>
  <c r="N76" i="12" s="1"/>
  <c r="M77" i="12"/>
  <c r="E77" i="12" s="1"/>
  <c r="D77" i="12"/>
  <c r="D76" i="12"/>
  <c r="K76" i="12"/>
  <c r="J76" i="12"/>
  <c r="I76" i="12"/>
  <c r="H76" i="12"/>
  <c r="G76" i="12"/>
  <c r="F75" i="12"/>
  <c r="E75" i="12"/>
  <c r="D75" i="12"/>
  <c r="F73" i="12"/>
  <c r="E73" i="12"/>
  <c r="D73" i="12"/>
  <c r="F72" i="12"/>
  <c r="E72" i="12"/>
  <c r="D72" i="12"/>
  <c r="N71" i="12"/>
  <c r="F71" i="12" s="1"/>
  <c r="M71" i="12"/>
  <c r="K71" i="12"/>
  <c r="J71" i="12"/>
  <c r="I71" i="12"/>
  <c r="H71" i="12"/>
  <c r="G71" i="12"/>
  <c r="E71" i="12"/>
  <c r="D71" i="12"/>
  <c r="D70" i="12"/>
  <c r="D74" i="12"/>
  <c r="D69" i="12"/>
  <c r="D68" i="12"/>
  <c r="F66" i="12"/>
  <c r="D66" i="12"/>
  <c r="D65" i="12"/>
  <c r="N64" i="12"/>
  <c r="F64" i="12" s="1"/>
  <c r="M64" i="12"/>
  <c r="E64" i="12" s="1"/>
  <c r="D64" i="12"/>
  <c r="D63" i="12"/>
  <c r="D62" i="12"/>
  <c r="D61" i="12"/>
  <c r="D27" i="12"/>
  <c r="D60" i="12"/>
  <c r="D22" i="12"/>
  <c r="D59" i="12"/>
  <c r="D58" i="12"/>
  <c r="D57" i="12"/>
  <c r="D28" i="12"/>
  <c r="D56" i="12"/>
  <c r="D55" i="12"/>
  <c r="D54" i="12"/>
  <c r="D53" i="12"/>
  <c r="D52" i="12"/>
  <c r="D51" i="12"/>
  <c r="N50" i="12"/>
  <c r="F50" i="12" s="1"/>
  <c r="M50" i="12"/>
  <c r="E50" i="12" s="1"/>
  <c r="L50" i="12"/>
  <c r="D49" i="12"/>
  <c r="K47" i="12"/>
  <c r="J47" i="12"/>
  <c r="I47" i="12"/>
  <c r="H47" i="12"/>
  <c r="G47" i="12"/>
  <c r="D45" i="12"/>
  <c r="D44" i="12"/>
  <c r="D43" i="12"/>
  <c r="D42" i="12"/>
  <c r="J42" i="12"/>
  <c r="I42" i="12"/>
  <c r="H42" i="12"/>
  <c r="F42" i="12"/>
  <c r="D41" i="12"/>
  <c r="N40" i="12"/>
  <c r="F40" i="12" s="1"/>
  <c r="M40" i="12"/>
  <c r="K40" i="12"/>
  <c r="D40" i="12" s="1"/>
  <c r="H40" i="12"/>
  <c r="E40" i="12"/>
  <c r="G38" i="12"/>
  <c r="F19" i="12"/>
  <c r="E19" i="12"/>
  <c r="F18" i="12"/>
  <c r="E18" i="12"/>
  <c r="D18" i="12"/>
  <c r="F17" i="12"/>
  <c r="E17" i="12"/>
  <c r="N16" i="12"/>
  <c r="N14" i="12" s="1"/>
  <c r="M16" i="12"/>
  <c r="M14" i="12" s="1"/>
  <c r="L16" i="12"/>
  <c r="K16" i="12"/>
  <c r="J16" i="12"/>
  <c r="I16" i="12"/>
  <c r="I14" i="12" s="1"/>
  <c r="H16" i="12"/>
  <c r="G14" i="12" s="1"/>
  <c r="G16" i="12"/>
  <c r="F16" i="12"/>
  <c r="E16" i="12"/>
  <c r="F14" i="12"/>
  <c r="E14" i="12"/>
  <c r="J14" i="12"/>
  <c r="J38" i="12" l="1"/>
  <c r="J13" i="12" s="1"/>
  <c r="E47" i="12"/>
  <c r="K14" i="12"/>
  <c r="D14" i="12" s="1"/>
  <c r="L47" i="12"/>
  <c r="K38" i="12" s="1"/>
  <c r="I40" i="12"/>
  <c r="G20" i="12"/>
  <c r="G36" i="12"/>
  <c r="G29" i="12" s="1"/>
  <c r="F47" i="12"/>
  <c r="J40" i="12"/>
  <c r="M47" i="12"/>
  <c r="M76" i="12"/>
  <c r="E76" i="12" s="1"/>
  <c r="N111" i="12"/>
  <c r="F111" i="12" s="1"/>
  <c r="N47" i="12"/>
  <c r="F77" i="12"/>
  <c r="H38" i="12"/>
  <c r="H36" i="12" s="1"/>
  <c r="H29" i="12" s="1"/>
  <c r="I38" i="12"/>
  <c r="I36" i="12" s="1"/>
  <c r="I29" i="12" s="1"/>
  <c r="D50" i="12"/>
  <c r="D16" i="12"/>
  <c r="F76" i="12"/>
  <c r="J20" i="12" l="1"/>
  <c r="J36" i="12"/>
  <c r="J29" i="12" s="1"/>
  <c r="K20" i="12"/>
  <c r="K36" i="12"/>
  <c r="K29" i="12" s="1"/>
  <c r="G13" i="12"/>
  <c r="H20" i="12"/>
  <c r="I13" i="12"/>
  <c r="I20" i="12"/>
  <c r="M38" i="12"/>
  <c r="M13" i="12" s="1"/>
  <c r="E13" i="12" s="1"/>
  <c r="D47" i="12"/>
  <c r="L38" i="12"/>
  <c r="K13" i="12" s="1"/>
  <c r="N38" i="12"/>
  <c r="N13" i="12" s="1"/>
  <c r="F13" i="12" s="1"/>
  <c r="F38" i="12" l="1"/>
  <c r="F20" i="12" s="1"/>
  <c r="D20" i="12"/>
  <c r="E38" i="12"/>
  <c r="E20" i="12" s="1"/>
  <c r="D38" i="12"/>
  <c r="D13" i="12"/>
  <c r="G28" i="16"/>
  <c r="G27" i="16"/>
  <c r="F36" i="12" l="1"/>
  <c r="F29" i="12"/>
  <c r="D36" i="12"/>
  <c r="D29" i="12"/>
  <c r="E36" i="12"/>
  <c r="E29" i="12"/>
  <c r="G29" i="16"/>
  <c r="G22" i="16"/>
  <c r="G28" i="13" l="1"/>
  <c r="G25" i="14" l="1"/>
  <c r="F57" i="25" s="1"/>
  <c r="G16" i="14"/>
  <c r="G18" i="14"/>
  <c r="G20" i="14"/>
  <c r="G21" i="14"/>
  <c r="G22" i="14"/>
  <c r="G23" i="14"/>
  <c r="G12" i="14"/>
  <c r="G9" i="14"/>
  <c r="F51" i="24"/>
  <c r="J11" i="14"/>
  <c r="F51" i="22"/>
  <c r="I11" i="14"/>
  <c r="H11" i="14"/>
  <c r="H10" i="14" s="1"/>
  <c r="G10" i="14" s="1"/>
  <c r="F53" i="25"/>
  <c r="F42" i="24" l="1"/>
  <c r="G19" i="14"/>
  <c r="F44" i="25"/>
  <c r="F42" i="22"/>
  <c r="G17" i="14"/>
  <c r="F55" i="25"/>
  <c r="D57" i="25"/>
  <c r="G11" i="14"/>
  <c r="F36" i="22" l="1"/>
  <c r="F38" i="25"/>
  <c r="F36" i="24"/>
  <c r="D55" i="25"/>
  <c r="F54" i="25"/>
  <c r="G14" i="16"/>
  <c r="G13" i="16"/>
  <c r="G8" i="16"/>
  <c r="G35" i="15"/>
  <c r="F35" i="22" l="1"/>
  <c r="F35" i="24"/>
  <c r="F37" i="25"/>
  <c r="F26" i="25" s="1"/>
  <c r="D54" i="25"/>
  <c r="F26" i="22" l="1"/>
  <c r="F26" i="24"/>
  <c r="G36" i="15"/>
  <c r="G39" i="15"/>
  <c r="G17" i="15"/>
  <c r="G13" i="15"/>
  <c r="G41" i="15"/>
  <c r="G19" i="15"/>
  <c r="G6" i="10"/>
  <c r="G9" i="10"/>
  <c r="G10" i="10"/>
  <c r="G11" i="10"/>
  <c r="G14" i="10"/>
  <c r="G15" i="10"/>
  <c r="G16" i="10"/>
  <c r="G17" i="10"/>
  <c r="G18" i="10"/>
  <c r="G19" i="10"/>
  <c r="G20" i="10"/>
  <c r="G22" i="10"/>
  <c r="G24" i="10"/>
  <c r="G25" i="10"/>
  <c r="G26" i="10"/>
  <c r="G27" i="10"/>
  <c r="G31" i="10"/>
  <c r="G32" i="10"/>
  <c r="G33" i="10"/>
  <c r="G34" i="10"/>
  <c r="G5" i="10"/>
  <c r="J30" i="10"/>
  <c r="J23" i="10"/>
  <c r="J21" i="10" s="1"/>
  <c r="J12" i="10" s="1"/>
  <c r="J13" i="10"/>
  <c r="J8" i="10"/>
  <c r="J7" i="10" s="1"/>
  <c r="I30" i="10"/>
  <c r="I23" i="10"/>
  <c r="I21" i="10" s="1"/>
  <c r="I13" i="10"/>
  <c r="I8" i="10"/>
  <c r="H8" i="10"/>
  <c r="H13" i="10"/>
  <c r="H23" i="10"/>
  <c r="G23" i="10" s="1"/>
  <c r="H30" i="10"/>
  <c r="E8" i="5"/>
  <c r="E11" i="5"/>
  <c r="E12" i="5"/>
  <c r="E13" i="5"/>
  <c r="E16" i="5"/>
  <c r="E17" i="5"/>
  <c r="E18" i="5"/>
  <c r="E19" i="5"/>
  <c r="E20" i="5"/>
  <c r="E21" i="5"/>
  <c r="E22" i="5"/>
  <c r="E24" i="5"/>
  <c r="E26" i="5"/>
  <c r="E27" i="5"/>
  <c r="E28" i="5"/>
  <c r="E29" i="5"/>
  <c r="E31" i="5"/>
  <c r="E32" i="5"/>
  <c r="E33" i="5"/>
  <c r="E7" i="5"/>
  <c r="G10" i="9"/>
  <c r="G11" i="9"/>
  <c r="G12" i="9"/>
  <c r="G15" i="9"/>
  <c r="G16" i="9"/>
  <c r="G17" i="9"/>
  <c r="G18" i="9"/>
  <c r="G19" i="9"/>
  <c r="G20" i="9"/>
  <c r="G21" i="9"/>
  <c r="G23" i="9"/>
  <c r="G25" i="9"/>
  <c r="G26" i="9"/>
  <c r="G27" i="9"/>
  <c r="G28" i="9"/>
  <c r="G30" i="9"/>
  <c r="G31" i="9"/>
  <c r="G63" i="25" s="1"/>
  <c r="G32" i="9"/>
  <c r="G7" i="9"/>
  <c r="G6" i="9"/>
  <c r="J29" i="9"/>
  <c r="J24" i="9"/>
  <c r="G51" i="24" s="1"/>
  <c r="G42" i="24" s="1"/>
  <c r="G36" i="24" s="1"/>
  <c r="G35" i="24" s="1"/>
  <c r="G26" i="24" s="1"/>
  <c r="J14" i="9"/>
  <c r="J9" i="9"/>
  <c r="I29" i="9"/>
  <c r="I24" i="9"/>
  <c r="G51" i="22" s="1"/>
  <c r="G42" i="22" s="1"/>
  <c r="G36" i="22" s="1"/>
  <c r="G35" i="22" s="1"/>
  <c r="G26" i="22" s="1"/>
  <c r="I22" i="9"/>
  <c r="I13" i="9" s="1"/>
  <c r="I8" i="9" s="1"/>
  <c r="I14" i="9"/>
  <c r="I9" i="9"/>
  <c r="H9" i="9"/>
  <c r="G9" i="9" s="1"/>
  <c r="H29" i="9"/>
  <c r="G29" i="9" s="1"/>
  <c r="H24" i="9"/>
  <c r="G24" i="9" s="1"/>
  <c r="H14" i="9"/>
  <c r="G14" i="9" s="1"/>
  <c r="G10" i="5"/>
  <c r="H10" i="5"/>
  <c r="G15" i="5"/>
  <c r="H15" i="5"/>
  <c r="G25" i="5"/>
  <c r="E51" i="22" s="1"/>
  <c r="H25" i="5"/>
  <c r="G23" i="5"/>
  <c r="G30" i="5"/>
  <c r="H30" i="5"/>
  <c r="E30" i="5"/>
  <c r="F15" i="5"/>
  <c r="E10" i="5"/>
  <c r="E42" i="22" l="1"/>
  <c r="D51" i="22"/>
  <c r="J22" i="9"/>
  <c r="J13" i="9" s="1"/>
  <c r="J8" i="9" s="1"/>
  <c r="G62" i="25"/>
  <c r="D63" i="25"/>
  <c r="G13" i="10"/>
  <c r="G14" i="5"/>
  <c r="G9" i="5" s="1"/>
  <c r="H22" i="9"/>
  <c r="G22" i="9" s="1"/>
  <c r="G53" i="25"/>
  <c r="G44" i="25" s="1"/>
  <c r="G38" i="25" s="1"/>
  <c r="G37" i="25" s="1"/>
  <c r="H23" i="5"/>
  <c r="E51" i="24"/>
  <c r="F23" i="5"/>
  <c r="E53" i="25"/>
  <c r="E25" i="5"/>
  <c r="G30" i="10"/>
  <c r="H21" i="10"/>
  <c r="G21" i="10" s="1"/>
  <c r="G8" i="10"/>
  <c r="I12" i="10"/>
  <c r="I7" i="10" s="1"/>
  <c r="E15" i="5"/>
  <c r="H13" i="9"/>
  <c r="H14" i="5"/>
  <c r="H9" i="5" s="1"/>
  <c r="E23" i="5" l="1"/>
  <c r="F14" i="5"/>
  <c r="F9" i="5" s="1"/>
  <c r="E9" i="5" s="1"/>
  <c r="H12" i="10"/>
  <c r="H7" i="10" s="1"/>
  <c r="G7" i="10" s="1"/>
  <c r="E42" i="24"/>
  <c r="D51" i="24"/>
  <c r="D62" i="25"/>
  <c r="G58" i="25"/>
  <c r="D58" i="25" s="1"/>
  <c r="E36" i="22"/>
  <c r="D42" i="22"/>
  <c r="E14" i="5"/>
  <c r="E44" i="25"/>
  <c r="D53" i="25"/>
  <c r="H8" i="9"/>
  <c r="G8" i="9" s="1"/>
  <c r="G13" i="9"/>
  <c r="G42" i="15"/>
  <c r="G29" i="15"/>
  <c r="G28" i="15"/>
  <c r="J18" i="15"/>
  <c r="I18" i="15"/>
  <c r="H18" i="15"/>
  <c r="H10" i="15" s="1"/>
  <c r="G9" i="15"/>
  <c r="G20" i="15"/>
  <c r="G8" i="15"/>
  <c r="G12" i="10" l="1"/>
  <c r="G26" i="25"/>
  <c r="E35" i="22"/>
  <c r="D36" i="22"/>
  <c r="E36" i="24"/>
  <c r="D42" i="24"/>
  <c r="E38" i="25"/>
  <c r="D44" i="25"/>
  <c r="G18" i="15"/>
  <c r="G10" i="15" l="1"/>
  <c r="E35" i="24"/>
  <c r="D36" i="24"/>
  <c r="E26" i="22"/>
  <c r="D26" i="22" s="1"/>
  <c r="D35" i="22"/>
  <c r="E37" i="25"/>
  <c r="D26" i="25" s="1"/>
  <c r="D38" i="25"/>
  <c r="G26" i="14"/>
  <c r="G8" i="14"/>
  <c r="E26" i="24" l="1"/>
  <c r="D26" i="24" s="1"/>
  <c r="D35" i="24"/>
  <c r="D37" i="25"/>
  <c r="G23" i="13" l="1"/>
  <c r="G24" i="13"/>
  <c r="G29" i="13"/>
  <c r="G32" i="13"/>
  <c r="I33" i="13"/>
  <c r="J33" i="13"/>
  <c r="H33" i="13"/>
  <c r="H25" i="13" s="1"/>
  <c r="G35" i="13"/>
  <c r="G34" i="13"/>
  <c r="G15" i="13"/>
  <c r="G14" i="13"/>
  <c r="G13" i="13"/>
  <c r="G9" i="13"/>
  <c r="G8" i="13"/>
  <c r="G27" i="7"/>
  <c r="G28" i="7"/>
  <c r="G26" i="7"/>
  <c r="G23" i="7"/>
  <c r="G22" i="7"/>
  <c r="J25" i="7"/>
  <c r="J24" i="7" s="1"/>
  <c r="I25" i="7"/>
  <c r="I24" i="7" s="1"/>
  <c r="G13" i="7"/>
  <c r="G14" i="7"/>
  <c r="G12" i="7"/>
  <c r="G8" i="7"/>
  <c r="H25" i="7"/>
  <c r="G25" i="7" s="1"/>
  <c r="H24" i="7" l="1"/>
  <c r="G24" i="7" s="1"/>
  <c r="G33" i="13"/>
  <c r="G27" i="13"/>
  <c r="G25" i="13" l="1"/>
  <c r="I11" i="7"/>
  <c r="I10" i="7" s="1"/>
  <c r="J11" i="7"/>
  <c r="J10" i="7" s="1"/>
  <c r="H11" i="7"/>
  <c r="G11" i="7" l="1"/>
  <c r="H10" i="7"/>
  <c r="G10" i="7" s="1"/>
</calcChain>
</file>

<file path=xl/sharedStrings.xml><?xml version="1.0" encoding="utf-8"?>
<sst xmlns="http://schemas.openxmlformats.org/spreadsheetml/2006/main" count="1129" uniqueCount="367">
  <si>
    <t>УТВЕРЖДАЮ</t>
  </si>
  <si>
    <t>"___" _____________ 20___г.</t>
  </si>
  <si>
    <t>финансово-хозяйственной деятельности</t>
  </si>
  <si>
    <t>(дата составления)</t>
  </si>
  <si>
    <t>Наименование структурного подразделения администрации
города, осуществляющего функции и полномочия учредителя</t>
  </si>
  <si>
    <t>Департамент образования администрации города</t>
  </si>
  <si>
    <t>Единица измерения: руб.</t>
  </si>
  <si>
    <t xml:space="preserve">код по ОКЕИ </t>
  </si>
  <si>
    <t>Раздел 1. Реквизиты учреждения</t>
  </si>
  <si>
    <t>Юридический адрес</t>
  </si>
  <si>
    <t>Адрес фактического местонахождения</t>
  </si>
  <si>
    <t>Адрес электронной почты</t>
  </si>
  <si>
    <t>Телефон учреждения</t>
  </si>
  <si>
    <t>Факс учреждения</t>
  </si>
  <si>
    <t xml:space="preserve">Перечень разрешительных документов, лицензий, государственной аккредитации (с указанием номеров, даты выдачи и срока действия), на основании которых учреждение осуществляет деятельность </t>
  </si>
  <si>
    <t>Основной государственный регистрационный номер учреждения (ОГРН), дата государственной регистрации</t>
  </si>
  <si>
    <t>Индентификационный номер налогоплательщика (ИНН)</t>
  </si>
  <si>
    <t>Фамилия, имя, отчество главного бухгалтера, телефон</t>
  </si>
  <si>
    <t>Код причины постановки на учет учреждения в налоговом органе (КПП)</t>
  </si>
  <si>
    <t>№ п/п</t>
  </si>
  <si>
    <t>Отчетные сведения, единица измерения</t>
  </si>
  <si>
    <t>На дату составления плана</t>
  </si>
  <si>
    <t>Общая балансовая стоимость недвижимого муниципального имущества, руб.</t>
  </si>
  <si>
    <t>1.1</t>
  </si>
  <si>
    <t>1.2</t>
  </si>
  <si>
    <t>Стоимость имущества, приобретенного учреждением за счет выделенных собственником имущества учреждению средств, руб.</t>
  </si>
  <si>
    <t>1.3</t>
  </si>
  <si>
    <t>Стоимость имущества, приобретенного учреждением за счет доходов, полученных от приносящей доход деятельности, руб.</t>
  </si>
  <si>
    <t>2</t>
  </si>
  <si>
    <t>Количество объектов недвижимого имущества, закрепленных за муниципальным учреждением (зданий, строений, помещений), ед.</t>
  </si>
  <si>
    <t>3</t>
  </si>
  <si>
    <r>
      <t>1.</t>
    </r>
    <r>
      <rPr>
        <sz val="12"/>
        <color indexed="8"/>
        <rFont val="Times New Roman"/>
        <family val="1"/>
        <charset val="204"/>
      </rPr>
      <t xml:space="preserve"> Цели (задачи) деятельности учреждения в соответствии с уставом учреждения:</t>
    </r>
  </si>
  <si>
    <r>
      <t>4.</t>
    </r>
    <r>
      <rPr>
        <sz val="12"/>
        <color indexed="8"/>
        <rFont val="Times New Roman"/>
        <family val="1"/>
        <charset val="204"/>
      </rPr>
      <t xml:space="preserve"> Сведения о недвижимом муниципальном имуществе:</t>
    </r>
  </si>
  <si>
    <r>
      <t>5.</t>
    </r>
    <r>
      <rPr>
        <sz val="12"/>
        <color indexed="8"/>
        <rFont val="Times New Roman"/>
        <family val="1"/>
        <charset val="204"/>
      </rPr>
      <t xml:space="preserve"> Сведения о движимом имуществе</t>
    </r>
  </si>
  <si>
    <t>Общая балансовая стоимость движимого муниципального имущества, руб.</t>
  </si>
  <si>
    <t xml:space="preserve">1.1 </t>
  </si>
  <si>
    <t>В том числе балансовая стоимость особо ценного движимого имущества, руб.</t>
  </si>
  <si>
    <t>Наименование показателя</t>
  </si>
  <si>
    <t>в том числе:</t>
  </si>
  <si>
    <t>КОСГУ</t>
  </si>
  <si>
    <t>Х</t>
  </si>
  <si>
    <r>
      <t>Выплаты - всего</t>
    </r>
    <r>
      <rPr>
        <sz val="11"/>
        <color indexed="8"/>
        <rFont val="Times New Roman"/>
        <family val="1"/>
        <charset val="204"/>
      </rPr>
      <t>, в том числе:</t>
    </r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</si>
  <si>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</si>
  <si>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</si>
  <si>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</si>
  <si>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</si>
  <si>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</si>
  <si>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</si>
  <si>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Арендная плата за пользованием имуществом</t>
  </si>
  <si>
    <t>Работы, услуги по содержанию имущества</t>
  </si>
  <si>
    <t>Прочие работы, услуги</t>
  </si>
  <si>
    <t>Прочие расходы</t>
  </si>
  <si>
    <t>Поступления нефинансовых активов</t>
  </si>
  <si>
    <t>Увеличение стоимости основных средств</t>
  </si>
  <si>
    <t>Увеличение стоимости материальных запасов - всего, 
в том числе:</t>
  </si>
  <si>
    <t>Продукты питания</t>
  </si>
  <si>
    <t>Мягкий инвентарь</t>
  </si>
  <si>
    <t>Прочие расходные материалы, предметы снабжения</t>
  </si>
  <si>
    <t>Медикаменты, перевязочные средства и прочие лечебные расходы</t>
  </si>
  <si>
    <t xml:space="preserve">Форма 3. Показатели по поступлениям и выплатам учреждения за счет субсидии на выполнение муниципального задания </t>
  </si>
  <si>
    <r>
      <t xml:space="preserve">Всего, 
</t>
    </r>
    <r>
      <rPr>
        <sz val="11"/>
        <color indexed="8"/>
        <rFont val="Times New Roman"/>
        <family val="1"/>
        <charset val="204"/>
      </rPr>
      <t>руб.</t>
    </r>
  </si>
  <si>
    <t>Остаток средств на начало планируемого года</t>
  </si>
  <si>
    <t>Остаток средств на конец планируемого года</t>
  </si>
  <si>
    <t>Поступления</t>
  </si>
  <si>
    <r>
      <t xml:space="preserve">Оплата работ, услуг - всего, </t>
    </r>
    <r>
      <rPr>
        <sz val="11"/>
        <color indexed="8"/>
        <rFont val="Times New Roman"/>
        <family val="1"/>
        <charset val="204"/>
      </rPr>
      <t>в том числе:</t>
    </r>
  </si>
  <si>
    <r>
      <t xml:space="preserve">в том числе, </t>
    </r>
    <r>
      <rPr>
        <b/>
        <u/>
        <sz val="11"/>
        <color indexed="8"/>
        <rFont val="Times New Roman"/>
        <family val="1"/>
        <charset val="204"/>
      </rPr>
      <t>местный бюджет</t>
    </r>
  </si>
  <si>
    <t>Форма 4. Показатели по поступлениям и выплатам учреждения за счет целевых субсидий</t>
  </si>
  <si>
    <t>4.1. На компенсацию расходов на оплату стоимости проезда и провоза багажа к месту использования отпуска и обратно работникам учреждения и неработающих членов его семьи 
(код субсидии 006.20.0002)</t>
  </si>
  <si>
    <t>4.2. На выплаты социального характера работникам учреждений, установленные муниципальными правовыми актами
(код субсидии 006.20.0003)</t>
  </si>
  <si>
    <t>Увеличение стоимости материальных запасов - всего, в том числе:</t>
  </si>
  <si>
    <t>Раздел 2. Сведения о целях (задачах), видах деятельности бюджетного (автономного) учреждения, основных показателях финансовой деятельности</t>
  </si>
  <si>
    <r>
      <t>2.</t>
    </r>
    <r>
      <rPr>
        <sz val="12"/>
        <color indexed="8"/>
        <rFont val="Times New Roman"/>
        <family val="1"/>
        <charset val="204"/>
      </rPr>
      <t xml:space="preserve"> Виды деятельности учреждения, относящиеся к его основным видам деятельности в соответствии с уставом учреждения:</t>
    </r>
  </si>
  <si>
    <t>ВСЕГО по субсидии на выполнение муниципального задания:</t>
  </si>
  <si>
    <t>(подпись)</t>
  </si>
  <si>
    <t xml:space="preserve">                            (расшифровка подписи)</t>
  </si>
  <si>
    <t>полное наименование муниципального бюджетного (автономного) учреждения</t>
  </si>
  <si>
    <t>Уплата прочих налогов, сборов</t>
  </si>
  <si>
    <t>Уплата иных платежей</t>
  </si>
  <si>
    <t>Код вида расходов</t>
  </si>
  <si>
    <t>Уплата налога на имущество и земельного налога</t>
  </si>
  <si>
    <r>
      <t xml:space="preserve">Прочая закупка товаров, работ и услуг для обеспечения государственных (муниципальных) нужд, 
</t>
    </r>
    <r>
      <rPr>
        <sz val="11"/>
        <color indexed="8"/>
        <rFont val="Times New Roman"/>
        <family val="1"/>
        <charset val="204"/>
      </rPr>
      <t>в том числе:</t>
    </r>
  </si>
  <si>
    <r>
      <t xml:space="preserve">Расходы на выплаты персоналу учреждений - всего, </t>
    </r>
    <r>
      <rPr>
        <sz val="11"/>
        <color indexed="8"/>
        <rFont val="Times New Roman"/>
        <family val="1"/>
        <charset val="204"/>
      </rPr>
      <t>в том числе:</t>
    </r>
  </si>
  <si>
    <t>Уплата налогов, сборов и иных платежей, в том числе:</t>
  </si>
  <si>
    <t>Таблица 2.1. Показатели выплат по расходам на закупку товаров, работ, услуг Учреждения</t>
  </si>
  <si>
    <t>Код строки</t>
  </si>
  <si>
    <t>Год начала закупки</t>
  </si>
  <si>
    <t>Сумма выплат по расходам на закупку товаров, работ и услуг, руб.</t>
  </si>
  <si>
    <t>( с точностью до двух знаков после запятой – 0,00)</t>
  </si>
  <si>
    <t>всего на закупки</t>
  </si>
  <si>
    <t xml:space="preserve">в соответствии с Федеральным законом от 05.04. 2013 №44-ФЗ </t>
  </si>
  <si>
    <t>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</si>
  <si>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18.07. 2011 №223-ФЗ "О закупках товаров, работ, услуг отдельными видами юридических лиц"</t>
  </si>
  <si>
    <t>на 20__ г.</t>
  </si>
  <si>
    <t>очередной</t>
  </si>
  <si>
    <t>финансовый год</t>
  </si>
  <si>
    <t>Выплаты по расходам на закупку товаров, работ, услуг, всего:</t>
  </si>
  <si>
    <t>В том числе: на оплату контрактов, заключенных до начала очередного финансового года:</t>
  </si>
  <si>
    <t>из них:</t>
  </si>
  <si>
    <t>На закупку товаров, работ, услуг по году начала закупки:</t>
  </si>
  <si>
    <t>ВСЕГО , руб</t>
  </si>
  <si>
    <t>на 2017 год</t>
  </si>
  <si>
    <t>на 2018 год</t>
  </si>
  <si>
    <t>на 2019 год</t>
  </si>
  <si>
    <t>всего, руб</t>
  </si>
  <si>
    <t>в том числе</t>
  </si>
  <si>
    <t>1) создание условий и организация дополнительного профессионального образования работников муниципальных образовательных учреждений;</t>
  </si>
  <si>
    <t>2) организация и проведение выставок, конференций, совещаний, семинаров для муниципальных образовательных учреждений;</t>
  </si>
  <si>
    <t>3) создание условий, организация и проведение мероприятий для обучающихся муниципальных образовательных учреждений;</t>
  </si>
  <si>
    <t>4) оказание информационно-методической, консультационной помощи  работникам муниципальных образовательных учреждений;</t>
  </si>
  <si>
    <t>5) организация проведения мониторингов и независимой оценки качества сферы образования;</t>
  </si>
  <si>
    <t xml:space="preserve">6) создание условий и организация комплектования муниципальными образовательными учреждениями фондов учебников, учебно-методической   литературы;
</t>
  </si>
  <si>
    <t>7) организационно-техническое сопровождение порталов, информационных систем, баз данных, реестров в сфере образования;</t>
  </si>
  <si>
    <t>8) создание и деятельность музея истории образования;</t>
  </si>
  <si>
    <t>9) организация деятельности территориальной психолого-медико-педагогической комиссии.</t>
  </si>
  <si>
    <r>
      <t>3.</t>
    </r>
    <r>
      <rPr>
        <sz val="12"/>
        <color indexed="8"/>
        <rFont val="Times New Roman"/>
        <family val="1"/>
        <charset val="204"/>
      </rPr>
      <t xml:space="preserve"> Дополнительные виды деятельности учреждения, приносящие доход,  в соответствии с уставом учреждения:</t>
    </r>
  </si>
  <si>
    <t>1) услуги по разработке компьютерного программного обеспечения, официальных сайтов, интернет-ресурсов, размещению информации для граждан и юридических лиц;</t>
  </si>
  <si>
    <t>2) услуги по редакционно-издательской деятельности, выпуску и реализации печатной продукции научного и учебного назначения, по разработке дизайна для граждан и юридических лиц;</t>
  </si>
  <si>
    <t>3) услуги по фотокопированию и подготовке документов и прочая специализированная вспомогательная деятельность по обеспечению деятельности офиса для граждан и юридических лиц;</t>
  </si>
  <si>
    <t>4) услуги по организации и обслуживанию ярмарок, торговых выставок для граждан и юридических лиц.</t>
  </si>
  <si>
    <t>учреждения города Нижневартовска</t>
  </si>
  <si>
    <t>"Центр развития образования"</t>
  </si>
  <si>
    <t>Муниципальное автономное учреждение города Нижневартовска</t>
  </si>
  <si>
    <t>на 2017 год и на плановый период 2018 и 2019 годов</t>
  </si>
  <si>
    <t>628611, Тюменская обл., ХМАО-Югра, 
г. Нижневартовск, ул. Мира, д.56 "б"</t>
  </si>
  <si>
    <t>cro-nv@mail.ru</t>
  </si>
  <si>
    <t>8 (3466) 45-81-60</t>
  </si>
  <si>
    <t>Устав;                                                                                                Распоряжение Главы города от 28.12.2005г.        № 1591</t>
  </si>
  <si>
    <t>1068603001400, 25.01.2006</t>
  </si>
  <si>
    <t>4.3. На расходы, не отнесенные к нормативным затратам, связанным с выполнением муниципального задания, к бюджетным инвестициям и к публичным обязательствам перед физическими лицами в денежной форме, полномочия по исполнению которых переданы в установленном порядке учреждению                                                                                                                                                                               (код субсидии 006.20.0010)</t>
  </si>
  <si>
    <t>4.4. Муниципальная программа "Комплексные меры по пропаганде здорового образа жизни (профилактика наркомании, токсикомании) в городе Нижневартовске на 2016-2020 годы"                                                                                                             (код субсидии 006.20.0014)</t>
  </si>
  <si>
    <t>Премии и гранты</t>
  </si>
  <si>
    <t>4.5. Муниципальная программа "Развитие образования города Нижневартовска на 2015-2020 годы"
(код субсидии 006.20.0015)</t>
  </si>
  <si>
    <t>4.6. Муниципальная программа "Профилактика терроризма и экстремизма в городе Нижневартовске                                               на 2015-2020 годы"                                                                                                                                                                                                               (код субсидии 006.20.0017)</t>
  </si>
  <si>
    <t>Иные выплаты, за исключением фонда оплаты труда учреждений, лицам, привлекаемым согласно законодательству
для выполнения отдельных полномочий</t>
  </si>
  <si>
    <t>Общая площадь объектов недвижимого имущества, закрепленная за муниципальным учреждением, кв. м., в том числе каждого объекта:
а) здание МАУ г. Нижневартовска "ЦРО"</t>
  </si>
  <si>
    <t>Стоимость имущества, закрепленного собственником имущества за учреждением на праве оперативного управления, руб.,
в том числе каждого объекта:
а) здание МАУ г. Нижневартовска "ЦРО"</t>
  </si>
  <si>
    <t>4.7. Муниципальная программа "Комплекс мероприятий по профилактике правонарушений в городе Нижневартовске на 2015-2020 годы"                                                                                                                                                                                    (код субсидии 006.20.0034)</t>
  </si>
  <si>
    <t>на 2017 г. очередной финансовый год</t>
  </si>
  <si>
    <t>на 2017  г. очередной финансовый год</t>
  </si>
  <si>
    <t>х</t>
  </si>
  <si>
    <t>Предоставление доступа к сети местной телефонной связи</t>
  </si>
  <si>
    <t>Услуги сети Интернет (абонентская плата)</t>
  </si>
  <si>
    <t>Услуги абонентского обслуживания по тарифному плану ЮЛ "Бюджетник"</t>
  </si>
  <si>
    <t>Дератизация помещений</t>
  </si>
  <si>
    <t>Дезинсекция помещений</t>
  </si>
  <si>
    <t>Вывоз ТБО</t>
  </si>
  <si>
    <t>Вывоз ртутьсодержащих ламп</t>
  </si>
  <si>
    <t>Зарядка огнетушителей</t>
  </si>
  <si>
    <t>Уборка территории от снега</t>
  </si>
  <si>
    <t>Устранение образования ледяного нароста на карнизах</t>
  </si>
  <si>
    <t>Поверка приборов учета тепловой энергии</t>
  </si>
  <si>
    <t>Проверка приборов узлов учета холодной, горячей воды</t>
  </si>
  <si>
    <t>Техническое обслуживание узлов учета тепловой энергии</t>
  </si>
  <si>
    <t>Техническое обслуживание узлов учета холодной и горячей воды</t>
  </si>
  <si>
    <t>Техническое обслуживание охранно-пожарно сигнализации и системы оповещения людей о пожаре</t>
  </si>
  <si>
    <t>Проведение технического осмотра транспортных средств</t>
  </si>
  <si>
    <t xml:space="preserve">Проверка работоспособности противопожарных дверей </t>
  </si>
  <si>
    <t>Расходы на обслуживание КТС</t>
  </si>
  <si>
    <t>Проверка работоспособности сетей внутреннего противопожарного водопровода (1 раз в полгода)</t>
  </si>
  <si>
    <t>Обслуживание мини АТС</t>
  </si>
  <si>
    <t>Проведение предрейсового и послерейсового технического осмотра автотранспорта</t>
  </si>
  <si>
    <t>Обслуживание программно-аппаратного комплекса (ПАК) "Стрелец-Мониторинг"</t>
  </si>
  <si>
    <t>Техническое обслуживание и ремонт торгово-технологического оборудования</t>
  </si>
  <si>
    <t xml:space="preserve">Ремонт оборудования </t>
  </si>
  <si>
    <t>Техническое обслуживание ПВМ и ремонт ВТР</t>
  </si>
  <si>
    <t>Техническое обслуживание и ремонт вентиляционного оборудования</t>
  </si>
  <si>
    <t>Техническое обслуживание и ремонт электрического оборудования</t>
  </si>
  <si>
    <t>Техническое обслуживание и ремонт сантехнического оборудования</t>
  </si>
  <si>
    <t>Оказание услуг по промывке системы отопления</t>
  </si>
  <si>
    <t>Проверка эффективности огнезащитной обработки</t>
  </si>
  <si>
    <t>Изготовление полиграфической продукции</t>
  </si>
  <si>
    <t>Поставка живых цветов</t>
  </si>
  <si>
    <t>Поставка сувенирной продукции  (рамок,  подарки и проч.)</t>
  </si>
  <si>
    <t>Услуги по обслуживанию программных систем</t>
  </si>
  <si>
    <t>Обязательное страхование гражданской ответственности</t>
  </si>
  <si>
    <t>Оказание услуг по сопровождению программного обеспечения и консультационные услуги</t>
  </si>
  <si>
    <t>Медицинское обследование работников</t>
  </si>
  <si>
    <t>Обезвреживание ртутьсодержащих отходов</t>
  </si>
  <si>
    <t>Размещение публичного отчета о деятельности учреждения</t>
  </si>
  <si>
    <t>Проведение экспертизы на списание компьютерной техники, сдача на утилизацию компьютерной техники</t>
  </si>
  <si>
    <t>Услуги платной автостоянки</t>
  </si>
  <si>
    <t>Расходы на оказание охранных услуг посредством КТС</t>
  </si>
  <si>
    <t>Обучение работников по пожарной безопасности</t>
  </si>
  <si>
    <t>Обучение работников по  охране труда</t>
  </si>
  <si>
    <t>Обучение работников по обеспечению электробезопасности</t>
  </si>
  <si>
    <t>Обучение работников по ПДД</t>
  </si>
  <si>
    <t>Прием, складирование и утилизация снега</t>
  </si>
  <si>
    <t>Услуги по проведению предрейсового и послерейсового медицинского осмотра водителей</t>
  </si>
  <si>
    <t>Утилизация ТБО</t>
  </si>
  <si>
    <t>Услуги по паспортизации здания, прочие услуги</t>
  </si>
  <si>
    <t>Подписка периодических изданий</t>
  </si>
  <si>
    <t xml:space="preserve">Приобретение и обновление лицензий и системное програмное обеспечение </t>
  </si>
  <si>
    <t>Приобретение и обновление лицензий и системное програмное обеспечение по обеспечению безопасности</t>
  </si>
  <si>
    <t>Аттестация рабочих мест по защите персональных данных в ООО Аверс</t>
  </si>
  <si>
    <t>Услуги по предоставлению нормативно-правовой базы (Консультант+)</t>
  </si>
  <si>
    <t>Услуги по техническому надзору, ведению технической документации и сметных расчетов по договорам надзора</t>
  </si>
  <si>
    <t>Предоставление доступа к системе интернет отчетности в контролирующие органы "Контур-Экстерн", СБИС+</t>
  </si>
  <si>
    <t>Типографические работы</t>
  </si>
  <si>
    <t>Погрузочно-разгрузочные работы</t>
  </si>
  <si>
    <t>Услуги по проведению семинаров</t>
  </si>
  <si>
    <t>Услуги по изготовлению и размещению роликов социальной рекламы</t>
  </si>
  <si>
    <t>Приобретение диагностических программ</t>
  </si>
  <si>
    <t>Услуги по организации мероприятия (оформление зала, проведение мероприятий)</t>
  </si>
  <si>
    <t>Приобретение основных средств</t>
  </si>
  <si>
    <t>Медикаменты</t>
  </si>
  <si>
    <t>Мягкий инвентарь и обмундирование</t>
  </si>
  <si>
    <t xml:space="preserve">Хозяйственные расходы </t>
  </si>
  <si>
    <t>Запас дезинфицирующих средств</t>
  </si>
  <si>
    <t>Расходы на оргтехнику</t>
  </si>
  <si>
    <t>Приобретение предметов</t>
  </si>
  <si>
    <t>Приобретение ГСМ</t>
  </si>
  <si>
    <t xml:space="preserve">Изготовление и поставка полиграфической продукции </t>
  </si>
  <si>
    <t>Поставка канцелярских товваров</t>
  </si>
  <si>
    <t>Приобретение автомобильных запасных частей</t>
  </si>
  <si>
    <t>Приобретение демонстрационных и агитационных материалов</t>
  </si>
  <si>
    <t>на 2018 г. 1-ый год планового периода</t>
  </si>
  <si>
    <t>на 2019 г. 2-ой год планового периода</t>
  </si>
  <si>
    <t>на 2018  г. 1-ый год планового периода</t>
  </si>
  <si>
    <t>на 2019  г. 2-ой год планового периода</t>
  </si>
  <si>
    <t>4.8. Муниципальная программа "Электронный Нижневартовск на 2017-2020 годы и на период до 2030 года"                                                                                                                                            (код субсидии 006.20.0049)</t>
  </si>
  <si>
    <t>4.9. Муниципальная программа "Энергосбережение и повышение энергетической эффективности в муниципальном образовании город Нижневартовск на 2011-2015 годы и на перспективу до 2020 года"                                                                                                                                            (код субсидии 006.20.0013)</t>
  </si>
  <si>
    <t>Отпуск питьевой воды и прием сточных вод</t>
  </si>
  <si>
    <t>Подача тепловой энергии и горячей воды</t>
  </si>
  <si>
    <t>Продажа электрической энергии</t>
  </si>
  <si>
    <t>Услуги транспортного и гостиничного облуживания</t>
  </si>
  <si>
    <t>Выполнение ремонтных работ</t>
  </si>
  <si>
    <t>Услуги по договорам</t>
  </si>
  <si>
    <t>Специальная оценка труда</t>
  </si>
  <si>
    <t xml:space="preserve">Таблица 1. Показатели финансового состояния учреждения </t>
  </si>
  <si>
    <t>Сумма, тыс. руб.</t>
  </si>
  <si>
    <t>Нефинансовые активы, всего:</t>
  </si>
  <si>
    <t>недвижимое имущество, всего:</t>
  </si>
  <si>
    <t>остаточная стоимость</t>
  </si>
  <si>
    <t>особо ценное движимое имущество, всего:</t>
  </si>
  <si>
    <t>Финансовые активы, всего:</t>
  </si>
  <si>
    <t>денежные средства учреждения, всего</t>
  </si>
  <si>
    <t>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</si>
  <si>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</si>
  <si>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</si>
  <si>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</si>
  <si>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</si>
  <si>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</si>
  <si>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долговые обязательства</t>
  </si>
  <si>
    <t>кредиторская задолженность:</t>
  </si>
  <si>
    <t>просроченная кредиторская задолженность</t>
  </si>
  <si>
    <t>Таблица 3. Сведения о средствах, поступающих</t>
  </si>
  <si>
    <t xml:space="preserve">во временное распоряжение учреждения </t>
  </si>
  <si>
    <t>(очередной финансовый год)</t>
  </si>
  <si>
    <t xml:space="preserve">Сумма </t>
  </si>
  <si>
    <t>(руб., с точностью до двух знаков после запятой - 0,00)</t>
  </si>
  <si>
    <t>Остаток средств на начало года</t>
  </si>
  <si>
    <t>Остаток средств на конец года</t>
  </si>
  <si>
    <t>Поступление</t>
  </si>
  <si>
    <t>Выбытие</t>
  </si>
  <si>
    <t>Таблица 4. Справочная информация</t>
  </si>
  <si>
    <t>Сумма (тыс. руб.)</t>
  </si>
  <si>
    <t>2017 год</t>
  </si>
  <si>
    <t>2018 год</t>
  </si>
  <si>
    <t>2019 год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</si>
  <si>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</si>
  <si>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</si>
  <si>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</si>
  <si>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 xml:space="preserve">                                                      (подпись)               (расшифровка подписи)</t>
  </si>
  <si>
    <t xml:space="preserve">                                                            </t>
  </si>
  <si>
    <t xml:space="preserve">                                                              (подпись)                    (расшифровка подписи)</t>
  </si>
  <si>
    <t>МП</t>
  </si>
  <si>
    <t>Форма 6. Показатели по поступлениям и выплатам учреждения за счет поступлений от иной приносящей доход деятельности</t>
  </si>
  <si>
    <t>Форма 5. Показатели по поступлениям и выплатам учреждения за счет поступлений от оказания учреждением услуг (выполнения работ), предоставление которых для физических и юридических лиц осуществляется на платной основе</t>
  </si>
  <si>
    <r>
      <t>на  2017 г</t>
    </r>
    <r>
      <rPr>
        <sz val="14"/>
        <color theme="1"/>
        <rFont val="Times New Roman"/>
        <family val="1"/>
        <charset val="204"/>
      </rPr>
      <t>.</t>
    </r>
  </si>
  <si>
    <t xml:space="preserve">                                                    ( должность)                 (подпись)        (расшифровка подписи)</t>
  </si>
  <si>
    <t xml:space="preserve">                           "_______"  ______________ 2017 г.</t>
  </si>
  <si>
    <t>(последнюю отчетную дату)</t>
  </si>
  <si>
    <t>Таблица 2. Показатели по поступлениям и выплатам учреждения</t>
  </si>
  <si>
    <t xml:space="preserve">на 2017 год </t>
  </si>
  <si>
    <t>Код по бюджетной классификации Российской Федерации</t>
  </si>
  <si>
    <t>Объем финансового обеспечения, руб. (с точностью до двух знаков после запятой – 0,00)</t>
  </si>
  <si>
    <t>код видов  расходов (КВР)</t>
  </si>
  <si>
    <t>код операций сектора государственного управления (КОСГУ)</t>
  </si>
  <si>
    <t>Всего</t>
  </si>
  <si>
    <t xml:space="preserve">субсидия на финансовое обеспечение выполнения муниципального задания </t>
  </si>
  <si>
    <t>субсидий, предоставляемых  в соответствии с абзацем вторым пункта 1 статьи 78.1 Бюджетного кодекса Российской Федерации</t>
  </si>
  <si>
    <t>средства от оказания услуг на платной основе и от иной приносящей доход деятельности</t>
  </si>
  <si>
    <t>Фактический остаток средств на начало года</t>
  </si>
  <si>
    <t>Поступления от доходов, всего:</t>
  </si>
  <si>
    <t>доходы от собственности</t>
  </si>
  <si>
    <t>доходы от оказания услуг, работ</t>
  </si>
  <si>
    <t>из них,</t>
  </si>
  <si>
    <t xml:space="preserve">  - поступления от оказания учреждением услуг (выполнения работ), относящихся в соответствии с уставом учреждения к его основным видам деятельности, предоставление которых для физических и юридических лиц осуществляется на платной основе</t>
  </si>
  <si>
    <t xml:space="preserve"> - поступления от оказания учреждением (подразделением) услуг (выполнения работ), предоставление которых для физических и юридических лиц осуществляется на платной основе</t>
  </si>
  <si>
    <t>субсидия на финансовое обеспечение выполнения муниципального задания</t>
  </si>
  <si>
    <t>доходы от штрафов, пеней, иных сумм принудительного изъятия</t>
  </si>
  <si>
    <t>x</t>
  </si>
  <si>
    <t>иные субсидии, предоставленные из бюджета</t>
  </si>
  <si>
    <t>прочие доходы</t>
  </si>
  <si>
    <t>доходы от операций с активами</t>
  </si>
  <si>
    <t>Выплаты по расходам, всего:</t>
  </si>
  <si>
    <t xml:space="preserve">Расходы на выплаты персоналу в целях обеспечения выполнения функций – </t>
  </si>
  <si>
    <t>всего:</t>
  </si>
  <si>
    <t xml:space="preserve">в том числе, </t>
  </si>
  <si>
    <t>расходы на выплаты персоналу учреждения, всего:</t>
  </si>
  <si>
    <t>фонд оплаты труда учреждений</t>
  </si>
  <si>
    <t>иные выплаты персоналу учреждений, за исключением фонда оплаты труда</t>
  </si>
  <si>
    <t xml:space="preserve">взносы по обязательному социальному страхованию на выплаты по оплате труда работников и иные выплаты работникам учреждений </t>
  </si>
  <si>
    <t>Закупка товаров, работ и услуг для обеспечения государственных (муниципальных) нужд – всего:</t>
  </si>
  <si>
    <t>в том числе,</t>
  </si>
  <si>
    <t>иные закупки товаров, работ и услуг для обеспечения государственных (муниципальных) нужд, всего</t>
  </si>
  <si>
    <t>закупка товаров, работ, услуг в целях капитального ремонта государственного (муниципального) имущества</t>
  </si>
  <si>
    <t>- работы, услуги по содержанию имущества</t>
  </si>
  <si>
    <t>243</t>
  </si>
  <si>
    <t>- прочие работы, услуги</t>
  </si>
  <si>
    <t>прочая закупка товаров, работ и услуг для обеспечения государственных (муниципальных) нужд</t>
  </si>
  <si>
    <t>- услуги связи</t>
  </si>
  <si>
    <t>- транспортные услуги</t>
  </si>
  <si>
    <t>- коммунальные услуги</t>
  </si>
  <si>
    <t>- арендная плата за пользование имуществом</t>
  </si>
  <si>
    <t>244</t>
  </si>
  <si>
    <t>- прочие расходы</t>
  </si>
  <si>
    <t>- увеличение стоимости основных средств</t>
  </si>
  <si>
    <t>- увеличение стоимости материальных запасов</t>
  </si>
  <si>
    <t>Социальное обеспечение и иные выплаты населению – всего:</t>
  </si>
  <si>
    <t>премии и гранты</t>
  </si>
  <si>
    <t>Иные бюджетные ассигнования – всего: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</si>
  <si>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</si>
  <si>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</si>
  <si>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</si>
  <si>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Поступление финансовых активов, всего:</t>
  </si>
  <si>
    <t>увеличение остатков средств</t>
  </si>
  <si>
    <t>прочие поступления</t>
  </si>
  <si>
    <t>Выбытие финансовых активов, всего</t>
  </si>
  <si>
    <t>прочие выбытия</t>
  </si>
  <si>
    <t>Планируемый остаток средств на конец планируемого года</t>
  </si>
  <si>
    <t xml:space="preserve">на 2018 год </t>
  </si>
  <si>
    <t xml:space="preserve">на 2019 год </t>
  </si>
  <si>
    <t xml:space="preserve">Иные выплаты, за исключением фонда оплаты труда учреждений, лицам, привлекаемым согласно законодательству
для выполнения отдельных полномочий - всего: </t>
  </si>
  <si>
    <t>в том числе,                                                                                                                                                                                           прочие расходы</t>
  </si>
  <si>
    <t>уменьшение остатков средств</t>
  </si>
  <si>
    <t>а) содействие стабильному функционированию и развитию муници-пальной системы образования;</t>
  </si>
  <si>
    <t>б) создание условий для развития кадрового потенциала муниципальных образовательных учреждений;</t>
  </si>
  <si>
    <t>г) реализация муниципальных программ.</t>
  </si>
  <si>
    <t>в) информационно-методическая и техническая поддержка информатизации муниципальной системы образования;</t>
  </si>
  <si>
    <r>
      <t>Оплата работ, услуг - всего</t>
    </r>
    <r>
      <rPr>
        <sz val="11"/>
        <color indexed="8"/>
        <rFont val="Times New Roman"/>
        <family val="1"/>
        <charset val="204"/>
      </rPr>
      <t>, в том числе:</t>
    </r>
  </si>
  <si>
    <t>8 (3466) 42-44-46, 45-63-42</t>
  </si>
  <si>
    <t>Почтовые расходы</t>
  </si>
  <si>
    <t>МАУ г. Нижневартовска "ЦРО"</t>
  </si>
  <si>
    <t>Приобретение, установка, внедрение и сопровождение АС «УРМ», проведение аттестации по требованиям безопасности информации</t>
  </si>
  <si>
    <t>Приобретение строительных материалов</t>
  </si>
  <si>
    <t>Техническое обслуживание и ремонт автотранспортных средств</t>
  </si>
  <si>
    <t>Обучение прочее</t>
  </si>
  <si>
    <t>Услуги нотариуса, юриста</t>
  </si>
  <si>
    <t xml:space="preserve">Исполняющий обязанности директора </t>
  </si>
  <si>
    <t>муниципального автономного</t>
  </si>
  <si>
    <t>И.о. руководителя учреждения</t>
  </si>
  <si>
    <t xml:space="preserve"> +7/3466/42-44-46</t>
  </si>
  <si>
    <t>О.М.Ярмонова</t>
  </si>
  <si>
    <t>И.о. руководителя учреждения  ________________               О.М.Ярмонова</t>
  </si>
  <si>
    <t>" 29 " сентября  2017 г.</t>
  </si>
  <si>
    <t>Фамилия, имя, отчество исполняющего обязанности руководителя учреждения, телефон</t>
  </si>
  <si>
    <t>Иванова Елена Владимировна,                       телефон 42-44-46</t>
  </si>
  <si>
    <t>Ярмонова Оксана Михайловна,                          телефон 45-44-81</t>
  </si>
  <si>
    <t>на "01" июля 2017 г.</t>
  </si>
  <si>
    <t>4.10. На компенсацию расходов на оплату стоимости проезда к месту нахождения учебного заведения и обратно                                                                                                                                                        (код субсидии 006.20.0025)</t>
  </si>
  <si>
    <t>Главный бухгалтер учреждения     ______________                     Е.В. Иванова</t>
  </si>
  <si>
    <t>Исполнитель   Главный бухгалтер       __________          Е.В. Иванова</t>
  </si>
  <si>
    <t>Главный бухгалтер</t>
  </si>
  <si>
    <t>Е.В. Иванова</t>
  </si>
  <si>
    <t>Исп. Главный бухгалтер Е.В. Иванова</t>
  </si>
  <si>
    <t>ПРОЕКТ ПЛАНА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</si>
</sst>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u/>
      <sz val="11"/>
      <color indexed="12"/>
      <name val="Calibri"/>
      <family val="2"/>
      <charset val="204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  <charset val="204"/>
    </font>
    <font>
      <b/>
      <u/>
      <sz val="11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6"/>
      <color theme="1"/>
      <name val="Times New Roman"/>
      <family val="1"/>
      <charset val="204"/>
    </font>
    <font>
      <b/>
      <sz val="16"/>
      <color indexed="10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sz val="2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4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21" fillId="0" borderId="0"/>
  </cellStyleXfs>
  <cellXfs count="25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1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1" fillId="0" borderId="0" xfId="0" applyFont="1" applyAlignment="1"/>
    <xf numFmtId="0" fontId="3" fillId="0" borderId="0" xfId="0" applyFont="1" applyAlignment="1"/>
    <xf numFmtId="0" fontId="7" fillId="0" borderId="0" xfId="0" applyFont="1"/>
    <xf numFmtId="0" fontId="1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1" fillId="0" borderId="2" xfId="0" applyFont="1" applyBorder="1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/>
    <xf numFmtId="0" fontId="1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14" fillId="0" borderId="0" xfId="0" applyFont="1" applyAlignment="1">
      <alignment horizontal="left" vertical="top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17" fillId="0" borderId="0" xfId="0" applyFont="1" applyAlignment="1">
      <alignment horizontal="justify" vertical="center"/>
    </xf>
    <xf numFmtId="0" fontId="1" fillId="2" borderId="2" xfId="0" applyFont="1" applyFill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0" fillId="0" borderId="0" xfId="0" applyFont="1" applyAlignment="1">
      <alignment vertical="center" wrapText="1"/>
    </xf>
    <xf numFmtId="4" fontId="20" fillId="0" borderId="2" xfId="0" applyNumberFormat="1" applyFont="1" applyBorder="1" applyAlignment="1">
      <alignment horizontal="center" vertical="center" wrapText="1"/>
    </xf>
    <xf numFmtId="3" fontId="20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4" fontId="2" fillId="3" borderId="2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/>
    </xf>
    <xf numFmtId="4" fontId="10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" fontId="10" fillId="0" borderId="2" xfId="0" applyNumberFormat="1" applyFont="1" applyBorder="1" applyAlignment="1">
      <alignment horizontal="center" vertical="center"/>
    </xf>
    <xf numFmtId="4" fontId="19" fillId="2" borderId="2" xfId="0" applyNumberFormat="1" applyFont="1" applyFill="1" applyBorder="1" applyAlignment="1">
      <alignment horizontal="center" vertical="center" wrapText="1"/>
    </xf>
    <xf numFmtId="2" fontId="10" fillId="0" borderId="2" xfId="0" applyNumberFormat="1" applyFont="1" applyBorder="1" applyAlignment="1">
      <alignment horizontal="center" vertical="center"/>
    </xf>
    <xf numFmtId="4" fontId="19" fillId="0" borderId="2" xfId="0" applyNumberFormat="1" applyFont="1" applyBorder="1" applyAlignment="1">
      <alignment horizontal="center" vertical="center" wrapText="1"/>
    </xf>
    <xf numFmtId="4" fontId="19" fillId="0" borderId="2" xfId="0" applyNumberFormat="1" applyFont="1" applyBorder="1" applyAlignment="1">
      <alignment horizontal="center" vertical="center"/>
    </xf>
    <xf numFmtId="0" fontId="20" fillId="0" borderId="2" xfId="0" applyFont="1" applyBorder="1" applyAlignment="1">
      <alignment vertical="center" textRotation="90" wrapText="1"/>
    </xf>
    <xf numFmtId="0" fontId="18" fillId="0" borderId="2" xfId="0" applyFont="1" applyBorder="1" applyAlignment="1">
      <alignment vertical="center" wrapText="1"/>
    </xf>
    <xf numFmtId="0" fontId="18" fillId="4" borderId="2" xfId="0" applyFont="1" applyFill="1" applyBorder="1" applyAlignment="1">
      <alignment vertical="center" wrapText="1"/>
    </xf>
    <xf numFmtId="0" fontId="18" fillId="4" borderId="2" xfId="0" applyFont="1" applyFill="1" applyBorder="1" applyAlignment="1">
      <alignment horizontal="center" vertical="center" wrapText="1"/>
    </xf>
    <xf numFmtId="0" fontId="18" fillId="5" borderId="2" xfId="0" applyFont="1" applyFill="1" applyBorder="1" applyAlignment="1">
      <alignment horizontal="center" vertical="center" wrapText="1"/>
    </xf>
    <xf numFmtId="0" fontId="18" fillId="3" borderId="2" xfId="2" applyFont="1" applyFill="1" applyBorder="1" applyAlignment="1">
      <alignment vertical="center" wrapText="1"/>
    </xf>
    <xf numFmtId="0" fontId="18" fillId="5" borderId="2" xfId="2" applyFont="1" applyFill="1" applyBorder="1" applyAlignment="1">
      <alignment horizontal="center" vertical="center" wrapText="1"/>
    </xf>
    <xf numFmtId="4" fontId="20" fillId="5" borderId="2" xfId="2" applyNumberFormat="1" applyFont="1" applyFill="1" applyBorder="1" applyAlignment="1">
      <alignment horizontal="center" vertical="center" wrapText="1"/>
    </xf>
    <xf numFmtId="0" fontId="18" fillId="3" borderId="2" xfId="2" applyFont="1" applyFill="1" applyBorder="1" applyAlignment="1">
      <alignment horizontal="left" vertical="center" wrapText="1"/>
    </xf>
    <xf numFmtId="0" fontId="20" fillId="5" borderId="2" xfId="2" applyFont="1" applyFill="1" applyBorder="1" applyAlignment="1">
      <alignment horizontal="center" vertical="center" wrapText="1"/>
    </xf>
    <xf numFmtId="0" fontId="18" fillId="3" borderId="2" xfId="2" applyFont="1" applyFill="1" applyBorder="1" applyAlignment="1">
      <alignment horizontal="left" vertical="top" wrapText="1"/>
    </xf>
    <xf numFmtId="0" fontId="1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2" xfId="0" applyFont="1" applyFill="1" applyBorder="1" applyAlignment="1">
      <alignment horizontal="left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/>
    <xf numFmtId="0" fontId="23" fillId="0" borderId="0" xfId="0" applyFont="1" applyFill="1"/>
    <xf numFmtId="4" fontId="22" fillId="0" borderId="0" xfId="0" applyNumberFormat="1" applyFont="1" applyFill="1" applyAlignment="1"/>
    <xf numFmtId="0" fontId="23" fillId="0" borderId="1" xfId="0" applyFont="1" applyFill="1" applyBorder="1"/>
    <xf numFmtId="2" fontId="24" fillId="0" borderId="1" xfId="0" applyNumberFormat="1" applyFont="1" applyFill="1" applyBorder="1" applyAlignment="1"/>
    <xf numFmtId="4" fontId="25" fillId="0" borderId="0" xfId="0" applyNumberFormat="1" applyFont="1" applyFill="1"/>
    <xf numFmtId="4" fontId="23" fillId="0" borderId="0" xfId="0" applyNumberFormat="1" applyFont="1" applyFill="1"/>
    <xf numFmtId="0" fontId="26" fillId="0" borderId="0" xfId="0" applyFont="1" applyFill="1" applyAlignment="1">
      <alignment horizontal="center" vertical="center"/>
    </xf>
    <xf numFmtId="0" fontId="27" fillId="0" borderId="0" xfId="0" applyFont="1" applyFill="1" applyAlignment="1"/>
    <xf numFmtId="4" fontId="27" fillId="0" borderId="0" xfId="0" applyNumberFormat="1" applyFont="1" applyFill="1" applyAlignment="1"/>
    <xf numFmtId="2" fontId="28" fillId="0" borderId="0" xfId="0" applyNumberFormat="1" applyFont="1" applyFill="1" applyAlignment="1"/>
    <xf numFmtId="4" fontId="26" fillId="0" borderId="0" xfId="0" applyNumberFormat="1" applyFont="1" applyFill="1"/>
    <xf numFmtId="0" fontId="26" fillId="0" borderId="0" xfId="0" applyFont="1" applyFill="1"/>
    <xf numFmtId="0" fontId="26" fillId="0" borderId="0" xfId="0" applyFont="1" applyFill="1" applyAlignment="1"/>
    <xf numFmtId="2" fontId="28" fillId="0" borderId="0" xfId="0" applyNumberFormat="1" applyFont="1" applyFill="1"/>
    <xf numFmtId="0" fontId="26" fillId="0" borderId="0" xfId="0" applyFont="1" applyFill="1" applyAlignment="1">
      <alignment horizontal="left"/>
    </xf>
    <xf numFmtId="0" fontId="23" fillId="0" borderId="0" xfId="0" applyFont="1" applyFill="1" applyBorder="1"/>
    <xf numFmtId="2" fontId="24" fillId="0" borderId="0" xfId="0" applyNumberFormat="1" applyFont="1" applyFill="1" applyBorder="1" applyAlignment="1"/>
    <xf numFmtId="0" fontId="2" fillId="0" borderId="2" xfId="0" applyFont="1" applyBorder="1" applyAlignment="1">
      <alignment horizontal="center" vertical="center" wrapText="1"/>
    </xf>
    <xf numFmtId="0" fontId="29" fillId="0" borderId="0" xfId="0" applyFont="1" applyAlignment="1">
      <alignment horizontal="justify" vertical="center"/>
    </xf>
    <xf numFmtId="0" fontId="30" fillId="0" borderId="13" xfId="0" applyFont="1" applyBorder="1" applyAlignment="1">
      <alignment horizontal="center" vertical="center" wrapText="1"/>
    </xf>
    <xf numFmtId="0" fontId="30" fillId="0" borderId="15" xfId="0" applyFont="1" applyBorder="1" applyAlignment="1">
      <alignment vertical="center" wrapText="1"/>
    </xf>
    <xf numFmtId="0" fontId="18" fillId="0" borderId="16" xfId="0" applyFont="1" applyBorder="1" applyAlignment="1">
      <alignment vertical="center" wrapText="1"/>
    </xf>
    <xf numFmtId="0" fontId="18" fillId="0" borderId="17" xfId="0" applyFont="1" applyBorder="1" applyAlignment="1">
      <alignment horizontal="left" vertical="center" wrapText="1" indent="2"/>
    </xf>
    <xf numFmtId="0" fontId="18" fillId="0" borderId="15" xfId="0" applyFont="1" applyBorder="1" applyAlignment="1">
      <alignment horizontal="left" vertical="center" wrapText="1" indent="2"/>
    </xf>
    <xf numFmtId="0" fontId="18" fillId="0" borderId="17" xfId="0" applyFont="1" applyBorder="1" applyAlignment="1">
      <alignment horizontal="left" vertical="center" wrapText="1" indent="4"/>
    </xf>
    <xf numFmtId="0" fontId="18" fillId="0" borderId="15" xfId="0" applyFont="1" applyBorder="1" applyAlignment="1">
      <alignment horizontal="left" vertical="center" wrapText="1" indent="4"/>
    </xf>
    <xf numFmtId="0" fontId="18" fillId="0" borderId="15" xfId="0" applyFont="1" applyBorder="1" applyAlignment="1">
      <alignment horizontal="left" vertical="center" wrapText="1" indent="3"/>
    </xf>
    <xf numFmtId="0" fontId="18" fillId="0" borderId="17" xfId="0" applyFont="1" applyBorder="1" applyAlignment="1">
      <alignment horizontal="left" vertical="center" wrapText="1" indent="6"/>
    </xf>
    <xf numFmtId="0" fontId="18" fillId="0" borderId="15" xfId="0" applyFont="1" applyBorder="1" applyAlignment="1">
      <alignment horizontal="left" vertical="center" wrapText="1" indent="6"/>
    </xf>
    <xf numFmtId="0" fontId="18" fillId="0" borderId="15" xfId="0" applyFont="1" applyBorder="1" applyAlignment="1">
      <alignment vertical="center" wrapText="1"/>
    </xf>
    <xf numFmtId="0" fontId="31" fillId="0" borderId="0" xfId="0" applyFont="1" applyAlignment="1">
      <alignment horizontal="justify" vertical="center"/>
    </xf>
    <xf numFmtId="0" fontId="18" fillId="0" borderId="19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2" fontId="18" fillId="0" borderId="16" xfId="0" applyNumberFormat="1" applyFont="1" applyBorder="1" applyAlignment="1">
      <alignment horizontal="center" vertical="center" wrapText="1"/>
    </xf>
    <xf numFmtId="0" fontId="18" fillId="0" borderId="13" xfId="0" applyFont="1" applyBorder="1" applyAlignment="1">
      <alignment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7" xfId="0" applyFont="1" applyBorder="1" applyAlignment="1">
      <alignment vertical="center" wrapText="1"/>
    </xf>
    <xf numFmtId="0" fontId="18" fillId="0" borderId="26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justify" vertical="center" wrapText="1"/>
    </xf>
    <xf numFmtId="0" fontId="17" fillId="0" borderId="15" xfId="0" applyFont="1" applyBorder="1" applyAlignment="1">
      <alignment horizontal="justify" vertical="center" wrapText="1"/>
    </xf>
    <xf numFmtId="0" fontId="17" fillId="0" borderId="17" xfId="0" applyFont="1" applyBorder="1" applyAlignment="1">
      <alignment horizontal="justify" vertical="center" wrapText="1"/>
    </xf>
    <xf numFmtId="4" fontId="18" fillId="0" borderId="16" xfId="0" applyNumberFormat="1" applyFont="1" applyBorder="1" applyAlignment="1">
      <alignment horizontal="center" vertical="center" wrapText="1"/>
    </xf>
    <xf numFmtId="4" fontId="18" fillId="0" borderId="13" xfId="0" applyNumberFormat="1" applyFont="1" applyBorder="1" applyAlignment="1">
      <alignment horizontal="center" vertical="center" wrapText="1"/>
    </xf>
    <xf numFmtId="4" fontId="18" fillId="0" borderId="14" xfId="0" applyNumberFormat="1" applyFont="1" applyBorder="1" applyAlignment="1">
      <alignment horizontal="center" vertical="center" wrapText="1"/>
    </xf>
    <xf numFmtId="4" fontId="18" fillId="0" borderId="26" xfId="0" applyNumberFormat="1" applyFont="1" applyBorder="1" applyAlignment="1">
      <alignment horizontal="center" vertical="center" wrapText="1"/>
    </xf>
    <xf numFmtId="14" fontId="26" fillId="0" borderId="0" xfId="0" applyNumberFormat="1" applyFont="1" applyFill="1" applyAlignment="1">
      <alignment horizontal="left" vertical="center"/>
    </xf>
    <xf numFmtId="4" fontId="20" fillId="0" borderId="2" xfId="0" applyNumberFormat="1" applyFont="1" applyBorder="1" applyAlignment="1">
      <alignment horizontal="center" vertical="center" wrapText="1"/>
    </xf>
    <xf numFmtId="4" fontId="20" fillId="0" borderId="2" xfId="0" applyNumberFormat="1" applyFont="1" applyBorder="1" applyAlignment="1">
      <alignment vertical="center" wrapText="1"/>
    </xf>
    <xf numFmtId="4" fontId="20" fillId="0" borderId="16" xfId="0" applyNumberFormat="1" applyFont="1" applyBorder="1" applyAlignment="1">
      <alignment vertical="center" wrapText="1"/>
    </xf>
    <xf numFmtId="0" fontId="30" fillId="0" borderId="16" xfId="0" applyFont="1" applyBorder="1" applyAlignment="1">
      <alignment horizontal="center" vertical="center" wrapText="1"/>
    </xf>
    <xf numFmtId="4" fontId="20" fillId="5" borderId="2" xfId="0" applyNumberFormat="1" applyFont="1" applyFill="1" applyBorder="1" applyAlignment="1">
      <alignment horizontal="center" vertical="center" wrapText="1"/>
    </xf>
    <xf numFmtId="4" fontId="20" fillId="0" borderId="2" xfId="0" applyNumberFormat="1" applyFont="1" applyBorder="1" applyAlignment="1">
      <alignment horizontal="center" vertical="center" wrapText="1"/>
    </xf>
    <xf numFmtId="4" fontId="20" fillId="4" borderId="2" xfId="0" applyNumberFormat="1" applyFont="1" applyFill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4" fontId="20" fillId="0" borderId="2" xfId="0" applyNumberFormat="1" applyFont="1" applyBorder="1" applyAlignment="1">
      <alignment horizontal="center" vertical="center" wrapText="1"/>
    </xf>
    <xf numFmtId="4" fontId="20" fillId="4" borderId="2" xfId="0" applyNumberFormat="1" applyFont="1" applyFill="1" applyBorder="1" applyAlignment="1">
      <alignment horizontal="center" vertical="center" wrapText="1"/>
    </xf>
    <xf numFmtId="4" fontId="20" fillId="5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4" fontId="20" fillId="4" borderId="4" xfId="0" applyNumberFormat="1" applyFont="1" applyFill="1" applyBorder="1" applyAlignment="1">
      <alignment horizontal="center" vertical="center" wrapText="1"/>
    </xf>
    <xf numFmtId="4" fontId="20" fillId="4" borderId="5" xfId="0" applyNumberFormat="1" applyFont="1" applyFill="1" applyBorder="1" applyAlignment="1">
      <alignment horizontal="center" vertical="center" wrapText="1"/>
    </xf>
    <xf numFmtId="4" fontId="20" fillId="0" borderId="6" xfId="0" applyNumberFormat="1" applyFont="1" applyBorder="1" applyAlignment="1">
      <alignment horizontal="center" vertical="center" wrapText="1"/>
    </xf>
    <xf numFmtId="4" fontId="20" fillId="4" borderId="3" xfId="0" applyNumberFormat="1" applyFont="1" applyFill="1" applyBorder="1" applyAlignment="1">
      <alignment horizontal="center" vertical="center" wrapText="1"/>
    </xf>
    <xf numFmtId="4" fontId="20" fillId="0" borderId="16" xfId="0" applyNumberFormat="1" applyFont="1" applyBorder="1" applyAlignment="1">
      <alignment horizontal="center" vertical="center" wrapText="1"/>
    </xf>
    <xf numFmtId="4" fontId="30" fillId="0" borderId="16" xfId="0" applyNumberFormat="1" applyFont="1" applyBorder="1" applyAlignment="1">
      <alignment horizontal="center" vertical="center" wrapText="1"/>
    </xf>
    <xf numFmtId="4" fontId="20" fillId="0" borderId="2" xfId="0" applyNumberFormat="1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4" fontId="20" fillId="0" borderId="2" xfId="0" applyNumberFormat="1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 wrapText="1"/>
    </xf>
    <xf numFmtId="4" fontId="33" fillId="0" borderId="16" xfId="0" applyNumberFormat="1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5" fillId="0" borderId="1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9" fillId="0" borderId="4" xfId="1" applyBorder="1" applyAlignment="1" applyProtection="1">
      <alignment horizontal="left" vertical="center"/>
    </xf>
    <xf numFmtId="0" fontId="10" fillId="0" borderId="4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left" wrapText="1"/>
    </xf>
    <xf numFmtId="4" fontId="20" fillId="0" borderId="18" xfId="0" applyNumberFormat="1" applyFont="1" applyBorder="1" applyAlignment="1">
      <alignment vertical="center" wrapText="1"/>
    </xf>
    <xf numFmtId="4" fontId="20" fillId="0" borderId="15" xfId="0" applyNumberFormat="1" applyFont="1" applyBorder="1" applyAlignment="1">
      <alignment vertical="center" wrapText="1"/>
    </xf>
    <xf numFmtId="0" fontId="16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30" fillId="0" borderId="18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30" fillId="0" borderId="22" xfId="0" applyFont="1" applyBorder="1" applyAlignment="1">
      <alignment horizontal="center" vertical="center" wrapText="1"/>
    </xf>
    <xf numFmtId="0" fontId="30" fillId="0" borderId="23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 wrapText="1"/>
    </xf>
    <xf numFmtId="0" fontId="30" fillId="0" borderId="24" xfId="0" applyFont="1" applyBorder="1" applyAlignment="1">
      <alignment horizontal="center" vertical="center" wrapText="1"/>
    </xf>
    <xf numFmtId="0" fontId="30" fillId="0" borderId="25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4" fontId="18" fillId="0" borderId="18" xfId="0" applyNumberFormat="1" applyFont="1" applyBorder="1" applyAlignment="1">
      <alignment horizontal="center" vertical="center" wrapText="1"/>
    </xf>
    <xf numFmtId="4" fontId="18" fillId="0" borderId="15" xfId="0" applyNumberFormat="1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4" fontId="18" fillId="0" borderId="17" xfId="0" applyNumberFormat="1" applyFont="1" applyBorder="1" applyAlignment="1">
      <alignment horizontal="center" vertical="center" wrapText="1"/>
    </xf>
    <xf numFmtId="0" fontId="18" fillId="0" borderId="17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 wrapText="1"/>
    </xf>
    <xf numFmtId="0" fontId="18" fillId="0" borderId="18" xfId="0" applyFont="1" applyBorder="1" applyAlignment="1">
      <alignment horizontal="left" vertical="center" wrapText="1"/>
    </xf>
    <xf numFmtId="4" fontId="20" fillId="0" borderId="18" xfId="0" applyNumberFormat="1" applyFont="1" applyBorder="1" applyAlignment="1">
      <alignment horizontal="center" vertical="center" wrapText="1"/>
    </xf>
    <xf numFmtId="4" fontId="20" fillId="0" borderId="15" xfId="0" applyNumberFormat="1" applyFont="1" applyBorder="1" applyAlignment="1">
      <alignment horizontal="center" vertical="center" wrapText="1"/>
    </xf>
    <xf numFmtId="4" fontId="20" fillId="5" borderId="2" xfId="0" applyNumberFormat="1" applyFont="1" applyFill="1" applyBorder="1" applyAlignment="1">
      <alignment horizontal="center" vertical="center" wrapText="1"/>
    </xf>
    <xf numFmtId="4" fontId="20" fillId="0" borderId="2" xfId="0" applyNumberFormat="1" applyFont="1" applyBorder="1" applyAlignment="1">
      <alignment horizontal="center" vertical="center" wrapText="1"/>
    </xf>
    <xf numFmtId="4" fontId="20" fillId="4" borderId="2" xfId="0" applyNumberFormat="1" applyFont="1" applyFill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4" fontId="20" fillId="4" borderId="3" xfId="0" applyNumberFormat="1" applyFont="1" applyFill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textRotation="90" wrapText="1"/>
    </xf>
    <xf numFmtId="4" fontId="20" fillId="0" borderId="6" xfId="0" applyNumberFormat="1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textRotation="90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 horizontal="left" vertical="center"/>
    </xf>
    <xf numFmtId="0" fontId="18" fillId="0" borderId="20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</cellXfs>
  <cellStyles count="3">
    <cellStyle name="Гиперссылка" xfId="1" builtinId="8"/>
    <cellStyle name="Обычный" xfId="0" builtinId="0"/>
    <cellStyle name="Обычный 5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885825</xdr:colOff>
      <xdr:row>24</xdr:row>
      <xdr:rowOff>19050</xdr:rowOff>
    </xdr:from>
    <xdr:to>
      <xdr:col>2</xdr:col>
      <xdr:colOff>1190625</xdr:colOff>
      <xdr:row>25</xdr:row>
      <xdr:rowOff>19050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105400" y="4867275"/>
          <a:ext cx="304800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ru-RU" sz="1100" b="0" i="0" strike="noStrike">
              <a:solidFill>
                <a:srgbClr val="000000"/>
              </a:solidFill>
              <a:latin typeface="Calibri"/>
            </a:rPr>
            <a:t>383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ro-nv@mail.ru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92"/>
  <sheetViews>
    <sheetView tabSelected="1" workbookViewId="0">
      <selection activeCell="A13" sqref="A13:C13"/>
    </sheetView>
  </sheetViews>
  <sheetFormatPr defaultRowHeight="15" x14ac:dyDescent="0.25"/>
  <cols>
    <col min="1" max="1" width="46.85546875" style="1" customWidth="1"/>
    <col min="2" max="2" width="16.42578125" style="1" customWidth="1"/>
    <col min="3" max="3" width="23.7109375" style="1" customWidth="1"/>
    <col min="4" max="16384" width="9.140625" style="1"/>
  </cols>
  <sheetData>
    <row r="3" spans="1:3" ht="20.25" x14ac:dyDescent="0.3">
      <c r="A3" s="27"/>
      <c r="B3" s="181" t="s">
        <v>0</v>
      </c>
      <c r="C3" s="181"/>
    </row>
    <row r="4" spans="1:3" x14ac:dyDescent="0.25">
      <c r="A4"/>
      <c r="B4" s="188" t="s">
        <v>349</v>
      </c>
      <c r="C4" s="188"/>
    </row>
    <row r="5" spans="1:3" x14ac:dyDescent="0.25">
      <c r="A5"/>
      <c r="B5" s="174" t="s">
        <v>350</v>
      </c>
      <c r="C5" s="174"/>
    </row>
    <row r="6" spans="1:3" x14ac:dyDescent="0.25">
      <c r="A6"/>
      <c r="B6" s="188" t="s">
        <v>119</v>
      </c>
      <c r="C6" s="188"/>
    </row>
    <row r="7" spans="1:3" x14ac:dyDescent="0.25">
      <c r="A7"/>
      <c r="B7" s="51" t="s">
        <v>120</v>
      </c>
      <c r="C7" s="51"/>
    </row>
    <row r="8" spans="1:3" x14ac:dyDescent="0.25">
      <c r="B8" s="4"/>
      <c r="C8" s="3" t="s">
        <v>353</v>
      </c>
    </row>
    <row r="9" spans="1:3" x14ac:dyDescent="0.25">
      <c r="B9" s="29" t="s">
        <v>73</v>
      </c>
      <c r="C9" s="30" t="s">
        <v>74</v>
      </c>
    </row>
    <row r="10" spans="1:3" ht="15" customHeight="1" x14ac:dyDescent="0.25">
      <c r="C10" s="2" t="s">
        <v>1</v>
      </c>
    </row>
    <row r="12" spans="1:3" ht="20.25" x14ac:dyDescent="0.3">
      <c r="A12" s="182" t="s">
        <v>366</v>
      </c>
      <c r="B12" s="182"/>
      <c r="C12" s="182"/>
    </row>
    <row r="13" spans="1:3" ht="18.75" x14ac:dyDescent="0.3">
      <c r="A13" s="183" t="s">
        <v>2</v>
      </c>
      <c r="B13" s="183"/>
      <c r="C13" s="183"/>
    </row>
    <row r="14" spans="1:3" ht="19.5" customHeight="1" x14ac:dyDescent="0.25">
      <c r="A14" s="184" t="s">
        <v>121</v>
      </c>
      <c r="B14" s="184"/>
      <c r="C14" s="184"/>
    </row>
    <row r="15" spans="1:3" ht="19.5" customHeight="1" x14ac:dyDescent="0.25">
      <c r="A15" s="185" t="s">
        <v>120</v>
      </c>
      <c r="B15" s="185"/>
      <c r="C15" s="185"/>
    </row>
    <row r="16" spans="1:3" ht="15" customHeight="1" x14ac:dyDescent="0.25">
      <c r="A16" s="186" t="s">
        <v>75</v>
      </c>
      <c r="B16" s="186"/>
      <c r="C16" s="186"/>
    </row>
    <row r="17" spans="1:3" ht="26.25" customHeight="1" x14ac:dyDescent="0.3">
      <c r="A17" s="183" t="s">
        <v>122</v>
      </c>
      <c r="B17" s="183"/>
      <c r="C17" s="183"/>
    </row>
    <row r="19" spans="1:3" x14ac:dyDescent="0.25">
      <c r="C19" s="31" t="s">
        <v>355</v>
      </c>
    </row>
    <row r="20" spans="1:3" ht="12" customHeight="1" x14ac:dyDescent="0.25">
      <c r="C20" s="5" t="s">
        <v>3</v>
      </c>
    </row>
    <row r="21" spans="1:3" ht="12" customHeight="1" x14ac:dyDescent="0.25">
      <c r="C21" s="5"/>
    </row>
    <row r="22" spans="1:3" ht="23.25" x14ac:dyDescent="0.25">
      <c r="A22" s="6" t="s">
        <v>4</v>
      </c>
    </row>
    <row r="23" spans="1:3" ht="18" customHeight="1" x14ac:dyDescent="0.25">
      <c r="A23" s="8" t="s">
        <v>5</v>
      </c>
      <c r="B23" s="7"/>
      <c r="C23" s="7"/>
    </row>
    <row r="24" spans="1:3" ht="12" customHeight="1" x14ac:dyDescent="0.25">
      <c r="A24" s="8"/>
      <c r="B24" s="7"/>
      <c r="C24" s="7"/>
    </row>
    <row r="25" spans="1:3" ht="15" customHeight="1" x14ac:dyDescent="0.25">
      <c r="A25" s="9" t="s">
        <v>6</v>
      </c>
      <c r="C25" s="9" t="s">
        <v>7</v>
      </c>
    </row>
    <row r="26" spans="1:3" ht="23.25" customHeight="1" x14ac:dyDescent="0.25"/>
    <row r="27" spans="1:3" ht="15.75" x14ac:dyDescent="0.25">
      <c r="A27" s="187" t="s">
        <v>8</v>
      </c>
      <c r="B27" s="187"/>
      <c r="C27" s="187"/>
    </row>
    <row r="28" spans="1:3" s="11" customFormat="1" ht="30.75" customHeight="1" x14ac:dyDescent="0.25">
      <c r="A28" s="10" t="s">
        <v>9</v>
      </c>
      <c r="B28" s="179" t="s">
        <v>123</v>
      </c>
      <c r="C28" s="180"/>
    </row>
    <row r="29" spans="1:3" s="11" customFormat="1" ht="30" customHeight="1" x14ac:dyDescent="0.25">
      <c r="A29" s="10" t="s">
        <v>10</v>
      </c>
      <c r="B29" s="179" t="s">
        <v>123</v>
      </c>
      <c r="C29" s="180"/>
    </row>
    <row r="30" spans="1:3" s="11" customFormat="1" x14ac:dyDescent="0.25">
      <c r="A30" s="10" t="s">
        <v>11</v>
      </c>
      <c r="B30" s="191" t="s">
        <v>124</v>
      </c>
      <c r="C30" s="190"/>
    </row>
    <row r="31" spans="1:3" s="11" customFormat="1" x14ac:dyDescent="0.25">
      <c r="A31" s="10" t="s">
        <v>12</v>
      </c>
      <c r="B31" s="189" t="s">
        <v>341</v>
      </c>
      <c r="C31" s="190"/>
    </row>
    <row r="32" spans="1:3" s="11" customFormat="1" x14ac:dyDescent="0.25">
      <c r="A32" s="10" t="s">
        <v>13</v>
      </c>
      <c r="B32" s="189" t="s">
        <v>125</v>
      </c>
      <c r="C32" s="190"/>
    </row>
    <row r="33" spans="1:3" s="11" customFormat="1" ht="30" customHeight="1" x14ac:dyDescent="0.25">
      <c r="A33" s="12" t="s">
        <v>356</v>
      </c>
      <c r="B33" s="179" t="s">
        <v>358</v>
      </c>
      <c r="C33" s="190"/>
    </row>
    <row r="34" spans="1:3" s="11" customFormat="1" ht="30" customHeight="1" x14ac:dyDescent="0.25">
      <c r="A34" s="12" t="s">
        <v>17</v>
      </c>
      <c r="B34" s="179" t="s">
        <v>357</v>
      </c>
      <c r="C34" s="190"/>
    </row>
    <row r="35" spans="1:3" s="11" customFormat="1" ht="78.75" customHeight="1" x14ac:dyDescent="0.25">
      <c r="A35" s="12" t="s">
        <v>14</v>
      </c>
      <c r="B35" s="192" t="s">
        <v>126</v>
      </c>
      <c r="C35" s="193"/>
    </row>
    <row r="36" spans="1:3" s="11" customFormat="1" ht="42" customHeight="1" x14ac:dyDescent="0.25">
      <c r="A36" s="12" t="s">
        <v>15</v>
      </c>
      <c r="B36" s="189" t="s">
        <v>127</v>
      </c>
      <c r="C36" s="190"/>
    </row>
    <row r="37" spans="1:3" s="11" customFormat="1" ht="30" x14ac:dyDescent="0.25">
      <c r="A37" s="12" t="s">
        <v>16</v>
      </c>
      <c r="B37" s="189">
        <v>8603129055</v>
      </c>
      <c r="C37" s="190"/>
    </row>
    <row r="38" spans="1:3" s="11" customFormat="1" ht="30" x14ac:dyDescent="0.25">
      <c r="A38" s="12" t="s">
        <v>18</v>
      </c>
      <c r="B38" s="189">
        <v>860301001</v>
      </c>
      <c r="C38" s="190"/>
    </row>
    <row r="39" spans="1:3" s="11" customFormat="1" x14ac:dyDescent="0.25"/>
    <row r="40" spans="1:3" s="11" customFormat="1" x14ac:dyDescent="0.25"/>
    <row r="41" spans="1:3" s="11" customFormat="1" x14ac:dyDescent="0.25"/>
    <row r="42" spans="1:3" s="11" customFormat="1" x14ac:dyDescent="0.25"/>
    <row r="43" spans="1:3" s="11" customFormat="1" x14ac:dyDescent="0.25"/>
    <row r="44" spans="1:3" s="11" customFormat="1" x14ac:dyDescent="0.25"/>
    <row r="45" spans="1:3" s="11" customFormat="1" x14ac:dyDescent="0.25"/>
    <row r="46" spans="1:3" s="11" customFormat="1" x14ac:dyDescent="0.25"/>
    <row r="47" spans="1:3" s="11" customFormat="1" x14ac:dyDescent="0.25"/>
    <row r="48" spans="1:3" s="11" customFormat="1" x14ac:dyDescent="0.25"/>
    <row r="49" s="11" customFormat="1" x14ac:dyDescent="0.25"/>
    <row r="50" s="11" customFormat="1" x14ac:dyDescent="0.25"/>
    <row r="51" s="11" customFormat="1" x14ac:dyDescent="0.25"/>
    <row r="52" s="11" customFormat="1" x14ac:dyDescent="0.25"/>
    <row r="53" s="11" customFormat="1" x14ac:dyDescent="0.25"/>
    <row r="54" s="11" customFormat="1" x14ac:dyDescent="0.25"/>
    <row r="55" s="11" customFormat="1" x14ac:dyDescent="0.25"/>
    <row r="56" s="11" customFormat="1" x14ac:dyDescent="0.25"/>
    <row r="57" s="11" customFormat="1" x14ac:dyDescent="0.25"/>
    <row r="58" s="11" customFormat="1" x14ac:dyDescent="0.25"/>
    <row r="59" s="11" customFormat="1" x14ac:dyDescent="0.25"/>
    <row r="60" s="11" customFormat="1" x14ac:dyDescent="0.25"/>
    <row r="61" s="11" customFormat="1" x14ac:dyDescent="0.25"/>
    <row r="62" s="11" customFormat="1" x14ac:dyDescent="0.25"/>
    <row r="63" s="11" customFormat="1" x14ac:dyDescent="0.25"/>
    <row r="64" s="11" customFormat="1" x14ac:dyDescent="0.25"/>
    <row r="65" s="11" customFormat="1" x14ac:dyDescent="0.25"/>
    <row r="66" s="11" customFormat="1" x14ac:dyDescent="0.25"/>
    <row r="67" s="11" customFormat="1" x14ac:dyDescent="0.25"/>
    <row r="68" s="11" customFormat="1" x14ac:dyDescent="0.25"/>
    <row r="69" s="11" customFormat="1" x14ac:dyDescent="0.25"/>
    <row r="70" s="11" customFormat="1" x14ac:dyDescent="0.25"/>
    <row r="71" s="11" customFormat="1" x14ac:dyDescent="0.25"/>
    <row r="72" s="11" customFormat="1" x14ac:dyDescent="0.25"/>
    <row r="73" s="11" customFormat="1" x14ac:dyDescent="0.25"/>
    <row r="74" s="11" customFormat="1" x14ac:dyDescent="0.25"/>
    <row r="75" s="11" customFormat="1" x14ac:dyDescent="0.25"/>
    <row r="76" s="11" customFormat="1" x14ac:dyDescent="0.25"/>
    <row r="77" s="11" customFormat="1" x14ac:dyDescent="0.25"/>
    <row r="78" s="11" customFormat="1" x14ac:dyDescent="0.25"/>
    <row r="79" s="11" customFormat="1" x14ac:dyDescent="0.25"/>
    <row r="80" s="11" customFormat="1" x14ac:dyDescent="0.25"/>
    <row r="81" s="11" customFormat="1" x14ac:dyDescent="0.25"/>
    <row r="82" s="11" customFormat="1" x14ac:dyDescent="0.25"/>
    <row r="83" s="11" customFormat="1" x14ac:dyDescent="0.25"/>
    <row r="84" s="11" customFormat="1" x14ac:dyDescent="0.25"/>
    <row r="85" s="11" customFormat="1" x14ac:dyDescent="0.25"/>
    <row r="86" s="11" customFormat="1" x14ac:dyDescent="0.25"/>
    <row r="87" s="11" customFormat="1" x14ac:dyDescent="0.25"/>
    <row r="88" s="11" customFormat="1" x14ac:dyDescent="0.25"/>
    <row r="89" s="11" customFormat="1" x14ac:dyDescent="0.25"/>
    <row r="90" s="11" customFormat="1" x14ac:dyDescent="0.25"/>
    <row r="91" s="11" customFormat="1" x14ac:dyDescent="0.25"/>
    <row r="92" s="11" customFormat="1" x14ac:dyDescent="0.25"/>
  </sheetData>
  <mergeCells count="21">
    <mergeCell ref="B36:C36"/>
    <mergeCell ref="B37:C37"/>
    <mergeCell ref="B38:C38"/>
    <mergeCell ref="B30:C30"/>
    <mergeCell ref="B31:C31"/>
    <mergeCell ref="B32:C32"/>
    <mergeCell ref="B33:C33"/>
    <mergeCell ref="B34:C34"/>
    <mergeCell ref="B35:C35"/>
    <mergeCell ref="B29:C29"/>
    <mergeCell ref="B3:C3"/>
    <mergeCell ref="A12:C12"/>
    <mergeCell ref="A13:C13"/>
    <mergeCell ref="A14:C14"/>
    <mergeCell ref="A15:C15"/>
    <mergeCell ref="A16:C16"/>
    <mergeCell ref="A17:C17"/>
    <mergeCell ref="A27:C27"/>
    <mergeCell ref="B28:C28"/>
    <mergeCell ref="B4:C4"/>
    <mergeCell ref="B6:C6"/>
  </mergeCells>
  <hyperlinks>
    <hyperlink ref="B30" r:id="rId1"/>
  </hyperlinks>
  <pageMargins left="0.78740157480314965" right="0.19685039370078741" top="0.39370078740157483" bottom="0.39370078740157483" header="0.31496062992125984" footer="0.31496062992125984"/>
  <pageSetup paperSize="9" orientation="portrait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topLeftCell="A3" zoomScaleNormal="100" workbookViewId="0">
      <selection activeCell="A18" sqref="A18:J18"/>
    </sheetView>
  </sheetViews>
  <sheetFormatPr defaultRowHeight="15" x14ac:dyDescent="0.25"/>
  <cols>
    <col min="1" max="1" width="45.28515625" style="11" customWidth="1"/>
    <col min="2" max="2" width="10.140625" style="11" customWidth="1"/>
    <col min="3" max="3" width="9.140625" style="28"/>
    <col min="4" max="5" width="14.42578125" style="28" hidden="1" customWidth="1"/>
    <col min="6" max="6" width="1" style="28" hidden="1" customWidth="1"/>
    <col min="7" max="7" width="12.7109375" style="28" customWidth="1"/>
    <col min="8" max="8" width="12.85546875" style="11" customWidth="1"/>
    <col min="9" max="9" width="13.28515625" style="11" customWidth="1"/>
    <col min="10" max="10" width="13.140625" style="11" customWidth="1"/>
    <col min="11" max="16384" width="9.140625" style="11"/>
  </cols>
  <sheetData>
    <row r="1" spans="1:10" ht="30.75" customHeight="1" x14ac:dyDescent="0.25">
      <c r="A1" s="194"/>
      <c r="B1" s="194"/>
      <c r="C1" s="194"/>
      <c r="D1" s="194"/>
      <c r="E1" s="194"/>
      <c r="F1" s="194"/>
      <c r="G1" s="194"/>
      <c r="H1" s="194"/>
      <c r="I1" s="194"/>
      <c r="J1" s="194"/>
    </row>
    <row r="3" spans="1:10" ht="66" customHeight="1" x14ac:dyDescent="0.25">
      <c r="A3" s="194" t="s">
        <v>128</v>
      </c>
      <c r="B3" s="194"/>
      <c r="C3" s="194"/>
      <c r="D3" s="194"/>
      <c r="E3" s="194"/>
      <c r="F3" s="194"/>
      <c r="G3" s="194"/>
      <c r="H3" s="194"/>
      <c r="I3" s="194"/>
      <c r="J3" s="194"/>
    </row>
    <row r="5" spans="1:10" ht="14.25" customHeight="1" x14ac:dyDescent="0.25">
      <c r="A5" s="243" t="s">
        <v>37</v>
      </c>
      <c r="B5" s="243" t="s">
        <v>78</v>
      </c>
      <c r="C5" s="243" t="s">
        <v>39</v>
      </c>
      <c r="D5" s="243" t="s">
        <v>60</v>
      </c>
      <c r="E5" s="238" t="s">
        <v>103</v>
      </c>
      <c r="F5" s="239"/>
      <c r="G5" s="248"/>
      <c r="H5" s="247" t="s">
        <v>104</v>
      </c>
      <c r="I5" s="247"/>
      <c r="J5" s="247"/>
    </row>
    <row r="6" spans="1:10" ht="17.25" customHeight="1" x14ac:dyDescent="0.25">
      <c r="A6" s="244"/>
      <c r="B6" s="244"/>
      <c r="C6" s="244"/>
      <c r="D6" s="245"/>
      <c r="E6" s="249"/>
      <c r="F6" s="250"/>
      <c r="G6" s="251"/>
      <c r="H6" s="54" t="s">
        <v>100</v>
      </c>
      <c r="I6" s="54" t="s">
        <v>101</v>
      </c>
      <c r="J6" s="54" t="s">
        <v>102</v>
      </c>
    </row>
    <row r="7" spans="1:10" s="24" customFormat="1" ht="14.25" x14ac:dyDescent="0.25">
      <c r="A7" s="53">
        <v>1</v>
      </c>
      <c r="B7" s="53">
        <v>2</v>
      </c>
      <c r="C7" s="53">
        <v>3</v>
      </c>
      <c r="D7" s="53">
        <v>3</v>
      </c>
      <c r="E7" s="53">
        <v>4</v>
      </c>
      <c r="F7" s="53">
        <v>5</v>
      </c>
      <c r="G7" s="53">
        <v>4</v>
      </c>
      <c r="H7" s="54">
        <v>5</v>
      </c>
      <c r="I7" s="54">
        <v>6</v>
      </c>
      <c r="J7" s="54">
        <v>7</v>
      </c>
    </row>
    <row r="8" spans="1:10" ht="26.25" customHeight="1" x14ac:dyDescent="0.25">
      <c r="A8" s="22" t="s">
        <v>61</v>
      </c>
      <c r="B8" s="23"/>
      <c r="C8" s="157" t="s">
        <v>40</v>
      </c>
      <c r="D8" s="20"/>
      <c r="E8" s="20"/>
      <c r="F8" s="20"/>
      <c r="G8" s="62">
        <f>H8+I8+J8</f>
        <v>0</v>
      </c>
      <c r="H8" s="66">
        <v>0</v>
      </c>
      <c r="I8" s="64">
        <v>0</v>
      </c>
      <c r="J8" s="64">
        <v>0</v>
      </c>
    </row>
    <row r="9" spans="1:10" x14ac:dyDescent="0.25">
      <c r="A9" s="23" t="s">
        <v>63</v>
      </c>
      <c r="B9" s="23"/>
      <c r="C9" s="157" t="s">
        <v>40</v>
      </c>
      <c r="D9" s="20"/>
      <c r="E9" s="20"/>
      <c r="F9" s="20"/>
      <c r="G9" s="61">
        <f t="shared" ref="G9" si="0">H9+I9+J9</f>
        <v>150000</v>
      </c>
      <c r="H9" s="61">
        <v>50000</v>
      </c>
      <c r="I9" s="65">
        <v>50000</v>
      </c>
      <c r="J9" s="65">
        <v>50000</v>
      </c>
    </row>
    <row r="10" spans="1:10" ht="23.25" customHeight="1" x14ac:dyDescent="0.25">
      <c r="A10" s="23" t="s">
        <v>41</v>
      </c>
      <c r="B10" s="23"/>
      <c r="C10" s="157" t="s">
        <v>40</v>
      </c>
      <c r="D10" s="20"/>
      <c r="E10" s="20"/>
      <c r="F10" s="20"/>
      <c r="G10" s="61">
        <f>H10+I10+J10</f>
        <v>150000</v>
      </c>
      <c r="H10" s="61">
        <f t="shared" ref="H10:J11" si="1">H11</f>
        <v>50000</v>
      </c>
      <c r="I10" s="65">
        <f t="shared" si="1"/>
        <v>50000</v>
      </c>
      <c r="J10" s="65">
        <f t="shared" si="1"/>
        <v>50000</v>
      </c>
    </row>
    <row r="11" spans="1:10" ht="57.75" customHeight="1" x14ac:dyDescent="0.25">
      <c r="A11" s="41" t="s">
        <v>80</v>
      </c>
      <c r="B11" s="41">
        <v>244</v>
      </c>
      <c r="C11" s="41" t="s">
        <v>40</v>
      </c>
      <c r="D11" s="42"/>
      <c r="E11" s="42"/>
      <c r="F11" s="49"/>
      <c r="G11" s="71">
        <f>H11+I11+J11</f>
        <v>150000</v>
      </c>
      <c r="H11" s="71">
        <f t="shared" si="1"/>
        <v>50000</v>
      </c>
      <c r="I11" s="71">
        <f t="shared" si="1"/>
        <v>50000</v>
      </c>
      <c r="J11" s="71">
        <f t="shared" si="1"/>
        <v>50000</v>
      </c>
    </row>
    <row r="12" spans="1:10" s="19" customFormat="1" ht="21.75" customHeight="1" x14ac:dyDescent="0.25">
      <c r="A12" s="162" t="s">
        <v>340</v>
      </c>
      <c r="B12" s="93">
        <v>244</v>
      </c>
      <c r="C12" s="93">
        <v>220</v>
      </c>
      <c r="D12" s="93"/>
      <c r="E12" s="93"/>
      <c r="F12" s="94"/>
      <c r="G12" s="73">
        <f>H12+I12+J12</f>
        <v>150000</v>
      </c>
      <c r="H12" s="73">
        <f>H13+H14</f>
        <v>50000</v>
      </c>
      <c r="I12" s="73">
        <f>I13+I14</f>
        <v>50000</v>
      </c>
      <c r="J12" s="73">
        <f>J13+J14</f>
        <v>50000</v>
      </c>
    </row>
    <row r="13" spans="1:10" x14ac:dyDescent="0.25">
      <c r="A13" s="22" t="s">
        <v>49</v>
      </c>
      <c r="B13" s="157">
        <v>244</v>
      </c>
      <c r="C13" s="157">
        <v>225</v>
      </c>
      <c r="D13" s="20"/>
      <c r="E13" s="20"/>
      <c r="F13" s="52"/>
      <c r="G13" s="62">
        <f>H13+I13+J13</f>
        <v>108000</v>
      </c>
      <c r="H13" s="62">
        <v>36000</v>
      </c>
      <c r="I13" s="64">
        <v>36000</v>
      </c>
      <c r="J13" s="64">
        <v>36000</v>
      </c>
    </row>
    <row r="14" spans="1:10" ht="17.25" customHeight="1" x14ac:dyDescent="0.25">
      <c r="A14" s="22" t="s">
        <v>50</v>
      </c>
      <c r="B14" s="157">
        <v>244</v>
      </c>
      <c r="C14" s="157">
        <v>226</v>
      </c>
      <c r="D14" s="20"/>
      <c r="E14" s="20"/>
      <c r="F14" s="20"/>
      <c r="G14" s="62">
        <f t="shared" ref="G14:G15" si="2">H14+I14+J14</f>
        <v>42000</v>
      </c>
      <c r="H14" s="62">
        <v>14000</v>
      </c>
      <c r="I14" s="64">
        <v>14000</v>
      </c>
      <c r="J14" s="64">
        <v>14000</v>
      </c>
    </row>
    <row r="15" spans="1:10" ht="30.75" customHeight="1" x14ac:dyDescent="0.25">
      <c r="A15" s="22" t="s">
        <v>62</v>
      </c>
      <c r="B15" s="157" t="s">
        <v>40</v>
      </c>
      <c r="C15" s="157" t="s">
        <v>40</v>
      </c>
      <c r="D15" s="25"/>
      <c r="E15" s="25"/>
      <c r="F15" s="38"/>
      <c r="G15" s="62">
        <f t="shared" si="2"/>
        <v>0</v>
      </c>
      <c r="H15" s="67">
        <v>0</v>
      </c>
      <c r="I15" s="64">
        <v>0</v>
      </c>
      <c r="J15" s="64">
        <v>0</v>
      </c>
    </row>
    <row r="18" spans="1:10" ht="66" customHeight="1" x14ac:dyDescent="0.25">
      <c r="A18" s="194" t="s">
        <v>129</v>
      </c>
      <c r="B18" s="194"/>
      <c r="C18" s="194"/>
      <c r="D18" s="194"/>
      <c r="E18" s="194"/>
      <c r="F18" s="194"/>
      <c r="G18" s="194"/>
      <c r="H18" s="194"/>
      <c r="I18" s="194"/>
      <c r="J18" s="194"/>
    </row>
    <row r="20" spans="1:10" ht="14.25" customHeight="1" x14ac:dyDescent="0.25">
      <c r="A20" s="243" t="s">
        <v>37</v>
      </c>
      <c r="B20" s="243" t="s">
        <v>78</v>
      </c>
      <c r="C20" s="243" t="s">
        <v>39</v>
      </c>
      <c r="D20" s="243" t="s">
        <v>60</v>
      </c>
      <c r="E20" s="238" t="s">
        <v>103</v>
      </c>
      <c r="F20" s="239"/>
      <c r="G20" s="248"/>
      <c r="H20" s="247" t="s">
        <v>104</v>
      </c>
      <c r="I20" s="247"/>
      <c r="J20" s="247"/>
    </row>
    <row r="21" spans="1:10" ht="17.25" customHeight="1" x14ac:dyDescent="0.25">
      <c r="A21" s="244"/>
      <c r="B21" s="244"/>
      <c r="C21" s="244"/>
      <c r="D21" s="245"/>
      <c r="E21" s="249"/>
      <c r="F21" s="250"/>
      <c r="G21" s="251"/>
      <c r="H21" s="54" t="s">
        <v>100</v>
      </c>
      <c r="I21" s="54" t="s">
        <v>101</v>
      </c>
      <c r="J21" s="54" t="s">
        <v>102</v>
      </c>
    </row>
    <row r="22" spans="1:10" s="24" customFormat="1" ht="14.25" x14ac:dyDescent="0.25">
      <c r="A22" s="53">
        <v>1</v>
      </c>
      <c r="B22" s="53">
        <v>2</v>
      </c>
      <c r="C22" s="53">
        <v>3</v>
      </c>
      <c r="D22" s="53">
        <v>3</v>
      </c>
      <c r="E22" s="53">
        <v>4</v>
      </c>
      <c r="F22" s="53">
        <v>5</v>
      </c>
      <c r="G22" s="53">
        <v>4</v>
      </c>
      <c r="H22" s="54">
        <v>5</v>
      </c>
      <c r="I22" s="54">
        <v>6</v>
      </c>
      <c r="J22" s="54">
        <v>7</v>
      </c>
    </row>
    <row r="23" spans="1:10" ht="26.25" customHeight="1" x14ac:dyDescent="0.25">
      <c r="A23" s="22" t="s">
        <v>61</v>
      </c>
      <c r="B23" s="23"/>
      <c r="C23" s="157" t="s">
        <v>40</v>
      </c>
      <c r="D23" s="20"/>
      <c r="E23" s="20"/>
      <c r="F23" s="20"/>
      <c r="G23" s="62">
        <f t="shared" ref="G23:G28" si="3">H23+I23+J23</f>
        <v>0</v>
      </c>
      <c r="H23" s="66">
        <v>0</v>
      </c>
      <c r="I23" s="64">
        <v>0</v>
      </c>
      <c r="J23" s="64">
        <v>0</v>
      </c>
    </row>
    <row r="24" spans="1:10" x14ac:dyDescent="0.25">
      <c r="A24" s="23" t="s">
        <v>63</v>
      </c>
      <c r="B24" s="23"/>
      <c r="C24" s="157" t="s">
        <v>40</v>
      </c>
      <c r="D24" s="20"/>
      <c r="E24" s="20"/>
      <c r="F24" s="20"/>
      <c r="G24" s="61">
        <f t="shared" si="3"/>
        <v>841000</v>
      </c>
      <c r="H24" s="61">
        <v>345000</v>
      </c>
      <c r="I24" s="65">
        <v>196000</v>
      </c>
      <c r="J24" s="65">
        <v>300000</v>
      </c>
    </row>
    <row r="25" spans="1:10" ht="23.25" customHeight="1" x14ac:dyDescent="0.25">
      <c r="A25" s="23" t="s">
        <v>41</v>
      </c>
      <c r="B25" s="23"/>
      <c r="C25" s="157" t="s">
        <v>40</v>
      </c>
      <c r="D25" s="20"/>
      <c r="E25" s="20"/>
      <c r="F25" s="20"/>
      <c r="G25" s="61">
        <f t="shared" si="3"/>
        <v>841000</v>
      </c>
      <c r="H25" s="61">
        <f>H26+H33</f>
        <v>345000</v>
      </c>
      <c r="I25" s="61">
        <f t="shared" ref="I25:J25" si="4">I26+I33</f>
        <v>196000</v>
      </c>
      <c r="J25" s="61">
        <f t="shared" si="4"/>
        <v>300000</v>
      </c>
    </row>
    <row r="26" spans="1:10" ht="60" customHeight="1" x14ac:dyDescent="0.25">
      <c r="A26" s="41" t="s">
        <v>80</v>
      </c>
      <c r="B26" s="41">
        <v>244</v>
      </c>
      <c r="C26" s="41" t="s">
        <v>40</v>
      </c>
      <c r="D26" s="42"/>
      <c r="E26" s="42"/>
      <c r="F26" s="49"/>
      <c r="G26" s="71">
        <f t="shared" si="3"/>
        <v>800050</v>
      </c>
      <c r="H26" s="71">
        <f>H27+H29+H30</f>
        <v>304050</v>
      </c>
      <c r="I26" s="71">
        <f>I27+I29+I30</f>
        <v>196000</v>
      </c>
      <c r="J26" s="71">
        <f>J27+J29+J30</f>
        <v>300000</v>
      </c>
    </row>
    <row r="27" spans="1:10" s="19" customFormat="1" ht="21.75" customHeight="1" x14ac:dyDescent="0.25">
      <c r="A27" s="162" t="s">
        <v>340</v>
      </c>
      <c r="B27" s="93">
        <v>244</v>
      </c>
      <c r="C27" s="93">
        <v>220</v>
      </c>
      <c r="D27" s="93"/>
      <c r="E27" s="93"/>
      <c r="F27" s="94"/>
      <c r="G27" s="73">
        <f t="shared" si="3"/>
        <v>600000</v>
      </c>
      <c r="H27" s="73">
        <f>H28</f>
        <v>300000</v>
      </c>
      <c r="I27" s="73">
        <f>I28</f>
        <v>50000</v>
      </c>
      <c r="J27" s="73">
        <f>J28</f>
        <v>250000</v>
      </c>
    </row>
    <row r="28" spans="1:10" ht="21" customHeight="1" x14ac:dyDescent="0.25">
      <c r="A28" s="22" t="s">
        <v>50</v>
      </c>
      <c r="B28" s="157">
        <v>244</v>
      </c>
      <c r="C28" s="157">
        <v>226</v>
      </c>
      <c r="D28" s="20"/>
      <c r="E28" s="20"/>
      <c r="F28" s="52"/>
      <c r="G28" s="62">
        <f t="shared" si="3"/>
        <v>600000</v>
      </c>
      <c r="H28" s="72">
        <v>300000</v>
      </c>
      <c r="I28" s="74">
        <v>50000</v>
      </c>
      <c r="J28" s="64">
        <v>250000</v>
      </c>
    </row>
    <row r="29" spans="1:10" ht="21" customHeight="1" x14ac:dyDescent="0.25">
      <c r="A29" s="23" t="s">
        <v>51</v>
      </c>
      <c r="B29" s="157">
        <v>244</v>
      </c>
      <c r="C29" s="157">
        <v>290</v>
      </c>
      <c r="D29" s="157"/>
      <c r="E29" s="157"/>
      <c r="F29" s="163"/>
      <c r="G29" s="61">
        <f t="shared" ref="G29:G32" si="5">H29+I29+J29</f>
        <v>110050</v>
      </c>
      <c r="H29" s="61">
        <f>4275-225</f>
        <v>4050</v>
      </c>
      <c r="I29" s="61">
        <v>56000</v>
      </c>
      <c r="J29" s="65">
        <v>50000</v>
      </c>
    </row>
    <row r="30" spans="1:10" ht="21" customHeight="1" x14ac:dyDescent="0.25">
      <c r="A30" s="23" t="s">
        <v>52</v>
      </c>
      <c r="B30" s="157">
        <v>244</v>
      </c>
      <c r="C30" s="157">
        <v>300</v>
      </c>
      <c r="D30" s="157"/>
      <c r="E30" s="157"/>
      <c r="F30" s="163"/>
      <c r="G30" s="61">
        <f>H30+I30+J30</f>
        <v>90000</v>
      </c>
      <c r="H30" s="61">
        <f t="shared" ref="H30:J31" si="6">H31</f>
        <v>0</v>
      </c>
      <c r="I30" s="61">
        <f t="shared" si="6"/>
        <v>90000</v>
      </c>
      <c r="J30" s="65">
        <f t="shared" si="6"/>
        <v>0</v>
      </c>
    </row>
    <row r="31" spans="1:10" ht="42.75" customHeight="1" x14ac:dyDescent="0.25">
      <c r="A31" s="22" t="s">
        <v>54</v>
      </c>
      <c r="B31" s="157">
        <v>244</v>
      </c>
      <c r="C31" s="157">
        <v>340</v>
      </c>
      <c r="D31" s="25"/>
      <c r="E31" s="25"/>
      <c r="F31" s="10"/>
      <c r="G31" s="64">
        <f>H31+I31+J31</f>
        <v>90000</v>
      </c>
      <c r="H31" s="64">
        <f t="shared" si="6"/>
        <v>0</v>
      </c>
      <c r="I31" s="64">
        <f t="shared" si="6"/>
        <v>90000</v>
      </c>
      <c r="J31" s="64">
        <f t="shared" si="6"/>
        <v>0</v>
      </c>
    </row>
    <row r="32" spans="1:10" ht="32.25" customHeight="1" x14ac:dyDescent="0.25">
      <c r="A32" s="22" t="s">
        <v>57</v>
      </c>
      <c r="B32" s="157">
        <v>244</v>
      </c>
      <c r="C32" s="157">
        <v>344</v>
      </c>
      <c r="D32" s="20"/>
      <c r="E32" s="20"/>
      <c r="F32" s="52"/>
      <c r="G32" s="62">
        <f t="shared" si="5"/>
        <v>90000</v>
      </c>
      <c r="H32" s="62">
        <v>0</v>
      </c>
      <c r="I32" s="62">
        <v>90000</v>
      </c>
      <c r="J32" s="64">
        <v>0</v>
      </c>
    </row>
    <row r="33" spans="1:10" x14ac:dyDescent="0.25">
      <c r="A33" s="68" t="s">
        <v>130</v>
      </c>
      <c r="B33" s="41">
        <v>350</v>
      </c>
      <c r="C33" s="41" t="s">
        <v>40</v>
      </c>
      <c r="D33" s="41"/>
      <c r="E33" s="41"/>
      <c r="F33" s="69"/>
      <c r="G33" s="63">
        <f>H33+I33+J33</f>
        <v>40950</v>
      </c>
      <c r="H33" s="63">
        <f>H34</f>
        <v>40950</v>
      </c>
      <c r="I33" s="63">
        <f t="shared" ref="I33:J33" si="7">I34</f>
        <v>0</v>
      </c>
      <c r="J33" s="63">
        <f t="shared" si="7"/>
        <v>0</v>
      </c>
    </row>
    <row r="34" spans="1:10" ht="21" customHeight="1" x14ac:dyDescent="0.25">
      <c r="A34" s="22" t="s">
        <v>51</v>
      </c>
      <c r="B34" s="157">
        <v>350</v>
      </c>
      <c r="C34" s="157">
        <v>290</v>
      </c>
      <c r="D34" s="20"/>
      <c r="E34" s="20"/>
      <c r="F34" s="20"/>
      <c r="G34" s="62">
        <f t="shared" ref="G34:G35" si="8">H34+I34+J34</f>
        <v>40950</v>
      </c>
      <c r="H34" s="62">
        <f>40725+225</f>
        <v>40950</v>
      </c>
      <c r="I34" s="62">
        <v>0</v>
      </c>
      <c r="J34" s="64">
        <v>0</v>
      </c>
    </row>
    <row r="35" spans="1:10" ht="23.25" customHeight="1" x14ac:dyDescent="0.25">
      <c r="A35" s="22" t="s">
        <v>62</v>
      </c>
      <c r="B35" s="157" t="s">
        <v>40</v>
      </c>
      <c r="C35" s="157" t="s">
        <v>40</v>
      </c>
      <c r="D35" s="25"/>
      <c r="E35" s="25"/>
      <c r="F35" s="38"/>
      <c r="G35" s="62">
        <f t="shared" si="8"/>
        <v>0</v>
      </c>
      <c r="H35" s="67">
        <v>0</v>
      </c>
      <c r="I35" s="64">
        <v>0</v>
      </c>
      <c r="J35" s="64">
        <v>0</v>
      </c>
    </row>
  </sheetData>
  <mergeCells count="15">
    <mergeCell ref="A1:J1"/>
    <mergeCell ref="A3:J3"/>
    <mergeCell ref="A5:A6"/>
    <mergeCell ref="B5:B6"/>
    <mergeCell ref="C5:C6"/>
    <mergeCell ref="D5:D6"/>
    <mergeCell ref="E5:G6"/>
    <mergeCell ref="H5:J5"/>
    <mergeCell ref="A18:J18"/>
    <mergeCell ref="A20:A21"/>
    <mergeCell ref="B20:B21"/>
    <mergeCell ref="C20:C21"/>
    <mergeCell ref="D20:D21"/>
    <mergeCell ref="E20:G21"/>
    <mergeCell ref="H20:J20"/>
  </mergeCells>
  <pageMargins left="1.1811023622047245" right="0.39370078740157483" top="0.39370078740157483" bottom="0.39370078740157483" header="0.51181102362204722" footer="0.51181102362204722"/>
  <pageSetup paperSize="9" scale="73" fitToHeight="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topLeftCell="A3" zoomScaleNormal="100" workbookViewId="0">
      <selection activeCell="H16" sqref="H16"/>
    </sheetView>
  </sheetViews>
  <sheetFormatPr defaultRowHeight="15" x14ac:dyDescent="0.25"/>
  <cols>
    <col min="1" max="1" width="45.28515625" style="11" customWidth="1"/>
    <col min="2" max="2" width="10.140625" style="11" customWidth="1"/>
    <col min="3" max="3" width="9.140625" style="28"/>
    <col min="4" max="5" width="14.42578125" style="28" hidden="1" customWidth="1"/>
    <col min="6" max="6" width="1" style="28" hidden="1" customWidth="1"/>
    <col min="7" max="7" width="14.140625" style="28" customWidth="1"/>
    <col min="8" max="8" width="12.85546875" style="11" customWidth="1"/>
    <col min="9" max="9" width="13.28515625" style="11" customWidth="1"/>
    <col min="10" max="10" width="13.140625" style="11" customWidth="1"/>
    <col min="11" max="16384" width="9.140625" style="11"/>
  </cols>
  <sheetData>
    <row r="1" spans="1:10" ht="30.75" customHeight="1" x14ac:dyDescent="0.25">
      <c r="A1" s="194"/>
      <c r="B1" s="194"/>
      <c r="C1" s="194"/>
      <c r="D1" s="194"/>
      <c r="E1" s="194"/>
      <c r="F1" s="194"/>
      <c r="G1" s="194"/>
      <c r="H1" s="194"/>
      <c r="I1" s="194"/>
      <c r="J1" s="194"/>
    </row>
    <row r="3" spans="1:10" ht="66" customHeight="1" x14ac:dyDescent="0.25">
      <c r="A3" s="194" t="s">
        <v>131</v>
      </c>
      <c r="B3" s="194"/>
      <c r="C3" s="194"/>
      <c r="D3" s="194"/>
      <c r="E3" s="194"/>
      <c r="F3" s="194"/>
      <c r="G3" s="194"/>
      <c r="H3" s="194"/>
      <c r="I3" s="194"/>
      <c r="J3" s="194"/>
    </row>
    <row r="5" spans="1:10" ht="14.25" customHeight="1" x14ac:dyDescent="0.25">
      <c r="A5" s="243" t="s">
        <v>37</v>
      </c>
      <c r="B5" s="243" t="s">
        <v>78</v>
      </c>
      <c r="C5" s="243" t="s">
        <v>39</v>
      </c>
      <c r="D5" s="243" t="s">
        <v>60</v>
      </c>
      <c r="E5" s="238" t="s">
        <v>103</v>
      </c>
      <c r="F5" s="239"/>
      <c r="G5" s="248"/>
      <c r="H5" s="247" t="s">
        <v>104</v>
      </c>
      <c r="I5" s="247"/>
      <c r="J5" s="247"/>
    </row>
    <row r="6" spans="1:10" ht="17.25" customHeight="1" x14ac:dyDescent="0.25">
      <c r="A6" s="244"/>
      <c r="B6" s="244"/>
      <c r="C6" s="244"/>
      <c r="D6" s="245"/>
      <c r="E6" s="249"/>
      <c r="F6" s="250"/>
      <c r="G6" s="251"/>
      <c r="H6" s="57" t="s">
        <v>100</v>
      </c>
      <c r="I6" s="57" t="s">
        <v>101</v>
      </c>
      <c r="J6" s="57" t="s">
        <v>102</v>
      </c>
    </row>
    <row r="7" spans="1:10" s="24" customFormat="1" ht="14.25" x14ac:dyDescent="0.25">
      <c r="A7" s="56">
        <v>1</v>
      </c>
      <c r="B7" s="56">
        <v>2</v>
      </c>
      <c r="C7" s="56">
        <v>3</v>
      </c>
      <c r="D7" s="56">
        <v>3</v>
      </c>
      <c r="E7" s="56">
        <v>4</v>
      </c>
      <c r="F7" s="56">
        <v>5</v>
      </c>
      <c r="G7" s="56">
        <v>4</v>
      </c>
      <c r="H7" s="57">
        <v>5</v>
      </c>
      <c r="I7" s="57">
        <v>6</v>
      </c>
      <c r="J7" s="57">
        <v>7</v>
      </c>
    </row>
    <row r="8" spans="1:10" ht="26.25" customHeight="1" x14ac:dyDescent="0.25">
      <c r="A8" s="22" t="s">
        <v>61</v>
      </c>
      <c r="B8" s="23"/>
      <c r="C8" s="157" t="s">
        <v>40</v>
      </c>
      <c r="D8" s="20"/>
      <c r="E8" s="20"/>
      <c r="F8" s="20"/>
      <c r="G8" s="62">
        <f t="shared" ref="G8:G12" si="0">H8+I8+J8</f>
        <v>0</v>
      </c>
      <c r="H8" s="66">
        <v>0</v>
      </c>
      <c r="I8" s="64">
        <v>0</v>
      </c>
      <c r="J8" s="64">
        <v>0</v>
      </c>
    </row>
    <row r="9" spans="1:10" x14ac:dyDescent="0.25">
      <c r="A9" s="23" t="s">
        <v>63</v>
      </c>
      <c r="B9" s="23"/>
      <c r="C9" s="157" t="s">
        <v>40</v>
      </c>
      <c r="D9" s="20"/>
      <c r="E9" s="20"/>
      <c r="F9" s="20"/>
      <c r="G9" s="61">
        <f t="shared" si="0"/>
        <v>18945507.5</v>
      </c>
      <c r="H9" s="61">
        <f>5032000-60492.5+2870000</f>
        <v>7841507.5</v>
      </c>
      <c r="I9" s="65">
        <v>5362900</v>
      </c>
      <c r="J9" s="65">
        <v>5741100</v>
      </c>
    </row>
    <row r="10" spans="1:10" ht="23.25" customHeight="1" x14ac:dyDescent="0.25">
      <c r="A10" s="23" t="s">
        <v>41</v>
      </c>
      <c r="B10" s="23"/>
      <c r="C10" s="157" t="s">
        <v>40</v>
      </c>
      <c r="D10" s="20"/>
      <c r="E10" s="20"/>
      <c r="F10" s="20"/>
      <c r="G10" s="61">
        <f>H10+I10+J10</f>
        <v>18945507.5</v>
      </c>
      <c r="H10" s="61">
        <f>H11+H13+H24</f>
        <v>7841507.5</v>
      </c>
      <c r="I10" s="61">
        <f>I11+I13+I24</f>
        <v>5362900</v>
      </c>
      <c r="J10" s="61">
        <f>J11+J13+J24</f>
        <v>5741100</v>
      </c>
    </row>
    <row r="11" spans="1:10" ht="61.5" customHeight="1" x14ac:dyDescent="0.25">
      <c r="A11" s="41" t="s">
        <v>133</v>
      </c>
      <c r="B11" s="41">
        <v>113</v>
      </c>
      <c r="C11" s="41" t="s">
        <v>40</v>
      </c>
      <c r="D11" s="42"/>
      <c r="E11" s="42"/>
      <c r="F11" s="42"/>
      <c r="G11" s="63">
        <f t="shared" si="0"/>
        <v>1213157.5</v>
      </c>
      <c r="H11" s="63">
        <f>H12</f>
        <v>1213157.5</v>
      </c>
      <c r="I11" s="63">
        <f>I12</f>
        <v>0</v>
      </c>
      <c r="J11" s="63">
        <f>J12</f>
        <v>0</v>
      </c>
    </row>
    <row r="12" spans="1:10" ht="23.25" customHeight="1" x14ac:dyDescent="0.25">
      <c r="A12" s="23" t="s">
        <v>51</v>
      </c>
      <c r="B12" s="157">
        <v>113</v>
      </c>
      <c r="C12" s="157">
        <v>290</v>
      </c>
      <c r="D12" s="20"/>
      <c r="E12" s="20"/>
      <c r="F12" s="20"/>
      <c r="G12" s="62">
        <f t="shared" si="0"/>
        <v>1213157.5</v>
      </c>
      <c r="H12" s="62">
        <f>2989680-1716030-60492.5</f>
        <v>1213157.5</v>
      </c>
      <c r="I12" s="62">
        <v>0</v>
      </c>
      <c r="J12" s="62">
        <v>0</v>
      </c>
    </row>
    <row r="13" spans="1:10" s="19" customFormat="1" ht="57.75" x14ac:dyDescent="0.25">
      <c r="A13" s="41" t="s">
        <v>80</v>
      </c>
      <c r="B13" s="41">
        <v>244</v>
      </c>
      <c r="C13" s="41" t="s">
        <v>40</v>
      </c>
      <c r="D13" s="42"/>
      <c r="E13" s="42"/>
      <c r="F13" s="49"/>
      <c r="G13" s="71">
        <f>H13+I13+J13</f>
        <v>15097970</v>
      </c>
      <c r="H13" s="71">
        <f>H14+H16+H17</f>
        <v>3993970</v>
      </c>
      <c r="I13" s="71">
        <f>I14+I16+I17</f>
        <v>5362900</v>
      </c>
      <c r="J13" s="71">
        <f>J14+J16+J17</f>
        <v>5741100</v>
      </c>
    </row>
    <row r="14" spans="1:10" x14ac:dyDescent="0.25">
      <c r="A14" s="23" t="s">
        <v>340</v>
      </c>
      <c r="B14" s="157">
        <v>244</v>
      </c>
      <c r="C14" s="157">
        <v>220</v>
      </c>
      <c r="D14" s="20"/>
      <c r="E14" s="20"/>
      <c r="F14" s="10"/>
      <c r="G14" s="65">
        <f>H14+I14+J14</f>
        <v>2369580</v>
      </c>
      <c r="H14" s="65">
        <f>H15</f>
        <v>799180</v>
      </c>
      <c r="I14" s="65">
        <f>I15</f>
        <v>763700</v>
      </c>
      <c r="J14" s="65">
        <f>J15</f>
        <v>806700</v>
      </c>
    </row>
    <row r="15" spans="1:10" x14ac:dyDescent="0.25">
      <c r="A15" s="22" t="s">
        <v>50</v>
      </c>
      <c r="B15" s="157">
        <v>244</v>
      </c>
      <c r="C15" s="157">
        <v>226</v>
      </c>
      <c r="D15" s="20"/>
      <c r="E15" s="20"/>
      <c r="F15" s="10"/>
      <c r="G15" s="64">
        <f>H15+I15+J15</f>
        <v>2369580</v>
      </c>
      <c r="H15" s="64">
        <f>759000-11000+11000+40180</f>
        <v>799180</v>
      </c>
      <c r="I15" s="64">
        <v>763700</v>
      </c>
      <c r="J15" s="64">
        <v>806700</v>
      </c>
    </row>
    <row r="16" spans="1:10" s="19" customFormat="1" x14ac:dyDescent="0.25">
      <c r="A16" s="23" t="s">
        <v>51</v>
      </c>
      <c r="B16" s="157">
        <v>244</v>
      </c>
      <c r="C16" s="157">
        <v>290</v>
      </c>
      <c r="D16" s="56"/>
      <c r="E16" s="56"/>
      <c r="F16" s="56"/>
      <c r="G16" s="65">
        <f t="shared" ref="G16:G23" si="1">H16+I16+J16</f>
        <v>10608430</v>
      </c>
      <c r="H16" s="61">
        <f>26900+122750+42000+1629820</f>
        <v>1821470</v>
      </c>
      <c r="I16" s="61">
        <v>4225880</v>
      </c>
      <c r="J16" s="61">
        <v>4561080</v>
      </c>
    </row>
    <row r="17" spans="1:10" x14ac:dyDescent="0.25">
      <c r="A17" s="23" t="s">
        <v>52</v>
      </c>
      <c r="B17" s="157">
        <v>244</v>
      </c>
      <c r="C17" s="157">
        <v>300</v>
      </c>
      <c r="D17" s="25"/>
      <c r="E17" s="25"/>
      <c r="F17" s="10"/>
      <c r="G17" s="65">
        <f t="shared" si="1"/>
        <v>2119960</v>
      </c>
      <c r="H17" s="65">
        <f>H18+H19</f>
        <v>1373320</v>
      </c>
      <c r="I17" s="65">
        <f>I18+I19</f>
        <v>373320</v>
      </c>
      <c r="J17" s="65">
        <f>J18+J19</f>
        <v>373320</v>
      </c>
    </row>
    <row r="18" spans="1:10" x14ac:dyDescent="0.25">
      <c r="A18" s="22" t="s">
        <v>53</v>
      </c>
      <c r="B18" s="157">
        <v>244</v>
      </c>
      <c r="C18" s="157">
        <v>310</v>
      </c>
      <c r="D18" s="25"/>
      <c r="E18" s="25"/>
      <c r="F18" s="10"/>
      <c r="G18" s="64">
        <f t="shared" si="1"/>
        <v>1000000</v>
      </c>
      <c r="H18" s="64">
        <v>1000000</v>
      </c>
      <c r="I18" s="64">
        <v>0</v>
      </c>
      <c r="J18" s="64">
        <v>0</v>
      </c>
    </row>
    <row r="19" spans="1:10" ht="45" x14ac:dyDescent="0.25">
      <c r="A19" s="22" t="s">
        <v>54</v>
      </c>
      <c r="B19" s="157">
        <v>244</v>
      </c>
      <c r="C19" s="157">
        <v>340</v>
      </c>
      <c r="D19" s="25"/>
      <c r="E19" s="25"/>
      <c r="F19" s="10"/>
      <c r="G19" s="64">
        <f t="shared" si="1"/>
        <v>1119960</v>
      </c>
      <c r="H19" s="64">
        <f>SUM(H20:H23)</f>
        <v>373320</v>
      </c>
      <c r="I19" s="64">
        <f>SUM(I20:I23)</f>
        <v>373320</v>
      </c>
      <c r="J19" s="64">
        <f>SUM(J20:J23)</f>
        <v>373320</v>
      </c>
    </row>
    <row r="20" spans="1:10" ht="30" x14ac:dyDescent="0.25">
      <c r="A20" s="22" t="s">
        <v>58</v>
      </c>
      <c r="B20" s="157">
        <v>244</v>
      </c>
      <c r="C20" s="157">
        <v>341</v>
      </c>
      <c r="D20" s="25"/>
      <c r="E20" s="25"/>
      <c r="F20" s="10"/>
      <c r="G20" s="64">
        <f t="shared" si="1"/>
        <v>0</v>
      </c>
      <c r="H20" s="64">
        <v>0</v>
      </c>
      <c r="I20" s="64">
        <v>0</v>
      </c>
      <c r="J20" s="64">
        <v>0</v>
      </c>
    </row>
    <row r="21" spans="1:10" x14ac:dyDescent="0.25">
      <c r="A21" s="22" t="s">
        <v>55</v>
      </c>
      <c r="B21" s="157">
        <v>244</v>
      </c>
      <c r="C21" s="157">
        <v>342</v>
      </c>
      <c r="D21" s="25"/>
      <c r="E21" s="25"/>
      <c r="F21" s="10"/>
      <c r="G21" s="64">
        <f t="shared" si="1"/>
        <v>19527</v>
      </c>
      <c r="H21" s="64">
        <f>6300+627</f>
        <v>6927</v>
      </c>
      <c r="I21" s="64">
        <v>6300</v>
      </c>
      <c r="J21" s="64">
        <v>6300</v>
      </c>
    </row>
    <row r="22" spans="1:10" x14ac:dyDescent="0.25">
      <c r="A22" s="22" t="s">
        <v>56</v>
      </c>
      <c r="B22" s="157">
        <v>244</v>
      </c>
      <c r="C22" s="157">
        <v>343</v>
      </c>
      <c r="D22" s="25"/>
      <c r="E22" s="25"/>
      <c r="F22" s="10"/>
      <c r="G22" s="64">
        <f t="shared" si="1"/>
        <v>0</v>
      </c>
      <c r="H22" s="64">
        <v>0</v>
      </c>
      <c r="I22" s="64">
        <v>0</v>
      </c>
      <c r="J22" s="64">
        <v>0</v>
      </c>
    </row>
    <row r="23" spans="1:10" ht="30" x14ac:dyDescent="0.25">
      <c r="A23" s="22" t="s">
        <v>57</v>
      </c>
      <c r="B23" s="157">
        <v>244</v>
      </c>
      <c r="C23" s="157">
        <v>344</v>
      </c>
      <c r="D23" s="25"/>
      <c r="E23" s="25"/>
      <c r="F23" s="10"/>
      <c r="G23" s="64">
        <f t="shared" si="1"/>
        <v>1100433</v>
      </c>
      <c r="H23" s="64">
        <f>367020-627</f>
        <v>366393</v>
      </c>
      <c r="I23" s="64">
        <v>367020</v>
      </c>
      <c r="J23" s="64">
        <v>367020</v>
      </c>
    </row>
    <row r="24" spans="1:10" x14ac:dyDescent="0.25">
      <c r="A24" s="68" t="s">
        <v>130</v>
      </c>
      <c r="B24" s="41">
        <v>350</v>
      </c>
      <c r="C24" s="41" t="s">
        <v>40</v>
      </c>
      <c r="D24" s="41"/>
      <c r="E24" s="41"/>
      <c r="F24" s="69"/>
      <c r="G24" s="63">
        <f>H24+I24+J24</f>
        <v>2634380</v>
      </c>
      <c r="H24" s="63">
        <f>H25</f>
        <v>2634380</v>
      </c>
      <c r="I24" s="63">
        <f>I25</f>
        <v>0</v>
      </c>
      <c r="J24" s="63">
        <f>J25</f>
        <v>0</v>
      </c>
    </row>
    <row r="25" spans="1:10" ht="21" customHeight="1" x14ac:dyDescent="0.25">
      <c r="A25" s="22" t="s">
        <v>51</v>
      </c>
      <c r="B25" s="157">
        <v>350</v>
      </c>
      <c r="C25" s="157">
        <v>290</v>
      </c>
      <c r="D25" s="20"/>
      <c r="E25" s="20"/>
      <c r="F25" s="20"/>
      <c r="G25" s="62">
        <f>H25+I25+J25</f>
        <v>2634380</v>
      </c>
      <c r="H25" s="62">
        <f>883100+1593280-42000+200000</f>
        <v>2634380</v>
      </c>
      <c r="I25" s="62">
        <v>0</v>
      </c>
      <c r="J25" s="62">
        <v>0</v>
      </c>
    </row>
    <row r="26" spans="1:10" ht="30.75" customHeight="1" x14ac:dyDescent="0.25">
      <c r="A26" s="22" t="s">
        <v>62</v>
      </c>
      <c r="B26" s="157" t="s">
        <v>40</v>
      </c>
      <c r="C26" s="157" t="s">
        <v>40</v>
      </c>
      <c r="D26" s="25"/>
      <c r="E26" s="25"/>
      <c r="F26" s="38"/>
      <c r="G26" s="62">
        <f t="shared" ref="G26" si="2">H26+I26+J26</f>
        <v>0</v>
      </c>
      <c r="H26" s="64">
        <v>0</v>
      </c>
      <c r="I26" s="64">
        <v>0</v>
      </c>
      <c r="J26" s="64">
        <v>0</v>
      </c>
    </row>
  </sheetData>
  <mergeCells count="8">
    <mergeCell ref="A1:J1"/>
    <mergeCell ref="A3:J3"/>
    <mergeCell ref="A5:A6"/>
    <mergeCell ref="B5:B6"/>
    <mergeCell ref="C5:C6"/>
    <mergeCell ref="D5:D6"/>
    <mergeCell ref="E5:G6"/>
    <mergeCell ref="H5:J5"/>
  </mergeCells>
  <pageMargins left="1.1811023622047245" right="0.39370078740157483" top="0.39370078740157483" bottom="0.39370078740157483" header="0.51181102362204722" footer="0.51181102362204722"/>
  <pageSetup paperSize="9" scale="72" fitToHeight="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2"/>
  <sheetViews>
    <sheetView topLeftCell="A3" zoomScaleNormal="100" workbookViewId="0">
      <selection activeCell="H13" sqref="H13"/>
    </sheetView>
  </sheetViews>
  <sheetFormatPr defaultRowHeight="15" x14ac:dyDescent="0.25"/>
  <cols>
    <col min="1" max="1" width="45.28515625" style="11" customWidth="1"/>
    <col min="2" max="2" width="10.140625" style="11" customWidth="1"/>
    <col min="3" max="3" width="9.140625" style="28"/>
    <col min="4" max="5" width="14.42578125" style="28" hidden="1" customWidth="1"/>
    <col min="6" max="6" width="1" style="28" hidden="1" customWidth="1"/>
    <col min="7" max="7" width="12.7109375" style="28" customWidth="1"/>
    <col min="8" max="8" width="12.85546875" style="11" customWidth="1"/>
    <col min="9" max="9" width="13.28515625" style="11" customWidth="1"/>
    <col min="10" max="10" width="13.140625" style="11" customWidth="1"/>
    <col min="11" max="16384" width="9.140625" style="11"/>
  </cols>
  <sheetData>
    <row r="1" spans="1:10" ht="30.75" customHeight="1" x14ac:dyDescent="0.25">
      <c r="A1" s="194"/>
      <c r="B1" s="194"/>
      <c r="C1" s="194"/>
      <c r="D1" s="194"/>
      <c r="E1" s="194"/>
      <c r="F1" s="194"/>
      <c r="G1" s="194"/>
      <c r="H1" s="194"/>
      <c r="I1" s="194"/>
      <c r="J1" s="194"/>
    </row>
    <row r="3" spans="1:10" ht="58.5" customHeight="1" x14ac:dyDescent="0.25">
      <c r="A3" s="194" t="s">
        <v>132</v>
      </c>
      <c r="B3" s="194"/>
      <c r="C3" s="194"/>
      <c r="D3" s="194"/>
      <c r="E3" s="194"/>
      <c r="F3" s="194"/>
      <c r="G3" s="194"/>
      <c r="H3" s="194"/>
      <c r="I3" s="194"/>
      <c r="J3" s="194"/>
    </row>
    <row r="5" spans="1:10" ht="14.25" customHeight="1" x14ac:dyDescent="0.25">
      <c r="A5" s="243" t="s">
        <v>37</v>
      </c>
      <c r="B5" s="243" t="s">
        <v>78</v>
      </c>
      <c r="C5" s="243" t="s">
        <v>39</v>
      </c>
      <c r="D5" s="243" t="s">
        <v>60</v>
      </c>
      <c r="E5" s="238" t="s">
        <v>103</v>
      </c>
      <c r="F5" s="239"/>
      <c r="G5" s="248"/>
      <c r="H5" s="247" t="s">
        <v>104</v>
      </c>
      <c r="I5" s="247"/>
      <c r="J5" s="247"/>
    </row>
    <row r="6" spans="1:10" ht="17.25" customHeight="1" x14ac:dyDescent="0.25">
      <c r="A6" s="244"/>
      <c r="B6" s="244"/>
      <c r="C6" s="244"/>
      <c r="D6" s="245"/>
      <c r="E6" s="249"/>
      <c r="F6" s="250"/>
      <c r="G6" s="251"/>
      <c r="H6" s="57" t="s">
        <v>100</v>
      </c>
      <c r="I6" s="57" t="s">
        <v>101</v>
      </c>
      <c r="J6" s="57" t="s">
        <v>102</v>
      </c>
    </row>
    <row r="7" spans="1:10" s="24" customFormat="1" ht="14.25" x14ac:dyDescent="0.25">
      <c r="A7" s="56">
        <v>1</v>
      </c>
      <c r="B7" s="56">
        <v>2</v>
      </c>
      <c r="C7" s="56">
        <v>3</v>
      </c>
      <c r="D7" s="56">
        <v>3</v>
      </c>
      <c r="E7" s="56">
        <v>4</v>
      </c>
      <c r="F7" s="56">
        <v>5</v>
      </c>
      <c r="G7" s="56">
        <v>4</v>
      </c>
      <c r="H7" s="57">
        <v>5</v>
      </c>
      <c r="I7" s="57">
        <v>6</v>
      </c>
      <c r="J7" s="57">
        <v>7</v>
      </c>
    </row>
    <row r="8" spans="1:10" ht="26.25" customHeight="1" x14ac:dyDescent="0.25">
      <c r="A8" s="22" t="s">
        <v>61</v>
      </c>
      <c r="B8" s="23"/>
      <c r="C8" s="157" t="s">
        <v>40</v>
      </c>
      <c r="D8" s="20"/>
      <c r="E8" s="20"/>
      <c r="F8" s="20"/>
      <c r="G8" s="62">
        <f t="shared" ref="G8:G16" si="0">H8+I8+J8</f>
        <v>0</v>
      </c>
      <c r="H8" s="66">
        <v>0</v>
      </c>
      <c r="I8" s="64">
        <v>0</v>
      </c>
      <c r="J8" s="64">
        <v>0</v>
      </c>
    </row>
    <row r="9" spans="1:10" x14ac:dyDescent="0.25">
      <c r="A9" s="23" t="s">
        <v>63</v>
      </c>
      <c r="B9" s="23"/>
      <c r="C9" s="157" t="s">
        <v>40</v>
      </c>
      <c r="D9" s="20"/>
      <c r="E9" s="20"/>
      <c r="F9" s="20"/>
      <c r="G9" s="61">
        <f t="shared" si="0"/>
        <v>1130000</v>
      </c>
      <c r="H9" s="61">
        <f>170000+150000</f>
        <v>320000</v>
      </c>
      <c r="I9" s="65">
        <f>150000+150000</f>
        <v>300000</v>
      </c>
      <c r="J9" s="65">
        <f>360000+150000</f>
        <v>510000</v>
      </c>
    </row>
    <row r="10" spans="1:10" ht="23.25" customHeight="1" x14ac:dyDescent="0.25">
      <c r="A10" s="23" t="s">
        <v>41</v>
      </c>
      <c r="B10" s="23"/>
      <c r="C10" s="157" t="s">
        <v>40</v>
      </c>
      <c r="D10" s="20"/>
      <c r="E10" s="20"/>
      <c r="F10" s="20"/>
      <c r="G10" s="61">
        <f t="shared" si="0"/>
        <v>1130000</v>
      </c>
      <c r="H10" s="61">
        <f>H11+H18</f>
        <v>320000</v>
      </c>
      <c r="I10" s="61">
        <f>I11+I18</f>
        <v>300000</v>
      </c>
      <c r="J10" s="61">
        <f>J11+J18</f>
        <v>510000</v>
      </c>
    </row>
    <row r="11" spans="1:10" ht="57" customHeight="1" x14ac:dyDescent="0.25">
      <c r="A11" s="41" t="s">
        <v>80</v>
      </c>
      <c r="B11" s="41">
        <v>244</v>
      </c>
      <c r="C11" s="41" t="s">
        <v>40</v>
      </c>
      <c r="D11" s="41"/>
      <c r="E11" s="41"/>
      <c r="F11" s="43"/>
      <c r="G11" s="63">
        <f t="shared" si="0"/>
        <v>621300</v>
      </c>
      <c r="H11" s="63">
        <f>H12+H14+H15</f>
        <v>31300</v>
      </c>
      <c r="I11" s="63">
        <f>I12+I14+I15</f>
        <v>190000</v>
      </c>
      <c r="J11" s="63">
        <f>J12+J14+J15</f>
        <v>400000</v>
      </c>
    </row>
    <row r="12" spans="1:10" s="19" customFormat="1" ht="21.75" customHeight="1" x14ac:dyDescent="0.25">
      <c r="A12" s="162" t="s">
        <v>340</v>
      </c>
      <c r="B12" s="93">
        <v>244</v>
      </c>
      <c r="C12" s="93">
        <v>220</v>
      </c>
      <c r="D12" s="93"/>
      <c r="E12" s="93"/>
      <c r="F12" s="94"/>
      <c r="G12" s="73">
        <f t="shared" si="0"/>
        <v>52000</v>
      </c>
      <c r="H12" s="73">
        <f>H13</f>
        <v>0</v>
      </c>
      <c r="I12" s="73">
        <f>I13</f>
        <v>26000</v>
      </c>
      <c r="J12" s="73">
        <f>J13</f>
        <v>26000</v>
      </c>
    </row>
    <row r="13" spans="1:10" ht="21" customHeight="1" x14ac:dyDescent="0.25">
      <c r="A13" s="22" t="s">
        <v>50</v>
      </c>
      <c r="B13" s="157">
        <v>244</v>
      </c>
      <c r="C13" s="157">
        <v>226</v>
      </c>
      <c r="D13" s="20"/>
      <c r="E13" s="20"/>
      <c r="F13" s="55"/>
      <c r="G13" s="62">
        <f t="shared" si="0"/>
        <v>52000</v>
      </c>
      <c r="H13" s="72">
        <f>26000-20800-5200</f>
        <v>0</v>
      </c>
      <c r="I13" s="74">
        <v>26000</v>
      </c>
      <c r="J13" s="64">
        <v>26000</v>
      </c>
    </row>
    <row r="14" spans="1:10" ht="21" customHeight="1" x14ac:dyDescent="0.25">
      <c r="A14" s="23" t="s">
        <v>51</v>
      </c>
      <c r="B14" s="157">
        <v>244</v>
      </c>
      <c r="C14" s="157">
        <v>290</v>
      </c>
      <c r="D14" s="157"/>
      <c r="E14" s="157"/>
      <c r="F14" s="163"/>
      <c r="G14" s="61">
        <f t="shared" si="0"/>
        <v>348500</v>
      </c>
      <c r="H14" s="61">
        <v>21700</v>
      </c>
      <c r="I14" s="61">
        <f>150000+8400</f>
        <v>158400</v>
      </c>
      <c r="J14" s="65">
        <f>160000+8400</f>
        <v>168400</v>
      </c>
    </row>
    <row r="15" spans="1:10" ht="21" customHeight="1" x14ac:dyDescent="0.25">
      <c r="A15" s="23" t="s">
        <v>52</v>
      </c>
      <c r="B15" s="157">
        <v>244</v>
      </c>
      <c r="C15" s="157">
        <v>300</v>
      </c>
      <c r="D15" s="157"/>
      <c r="E15" s="157"/>
      <c r="F15" s="163"/>
      <c r="G15" s="61">
        <f t="shared" si="0"/>
        <v>220800</v>
      </c>
      <c r="H15" s="61">
        <f t="shared" ref="H15:J16" si="1">H16</f>
        <v>9600</v>
      </c>
      <c r="I15" s="61">
        <f t="shared" si="1"/>
        <v>5600</v>
      </c>
      <c r="J15" s="65">
        <f t="shared" si="1"/>
        <v>205600</v>
      </c>
    </row>
    <row r="16" spans="1:10" ht="46.5" customHeight="1" x14ac:dyDescent="0.25">
      <c r="A16" s="22" t="s">
        <v>54</v>
      </c>
      <c r="B16" s="157">
        <v>244</v>
      </c>
      <c r="C16" s="157">
        <v>340</v>
      </c>
      <c r="D16" s="25"/>
      <c r="E16" s="25"/>
      <c r="F16" s="10"/>
      <c r="G16" s="64">
        <f t="shared" si="0"/>
        <v>220800</v>
      </c>
      <c r="H16" s="64">
        <f t="shared" si="1"/>
        <v>9600</v>
      </c>
      <c r="I16" s="64">
        <f t="shared" si="1"/>
        <v>5600</v>
      </c>
      <c r="J16" s="64">
        <f t="shared" si="1"/>
        <v>205600</v>
      </c>
    </row>
    <row r="17" spans="1:10" ht="30.75" customHeight="1" x14ac:dyDescent="0.25">
      <c r="A17" s="22" t="s">
        <v>57</v>
      </c>
      <c r="B17" s="157">
        <v>244</v>
      </c>
      <c r="C17" s="157">
        <v>344</v>
      </c>
      <c r="D17" s="20"/>
      <c r="E17" s="20"/>
      <c r="F17" s="55"/>
      <c r="G17" s="62">
        <f t="shared" ref="G17" si="2">H17+I17+J17</f>
        <v>220800</v>
      </c>
      <c r="H17" s="62">
        <v>9600</v>
      </c>
      <c r="I17" s="62">
        <v>5600</v>
      </c>
      <c r="J17" s="64">
        <f>200000+5600</f>
        <v>205600</v>
      </c>
    </row>
    <row r="18" spans="1:10" x14ac:dyDescent="0.25">
      <c r="A18" s="68" t="s">
        <v>130</v>
      </c>
      <c r="B18" s="41">
        <v>350</v>
      </c>
      <c r="C18" s="41" t="s">
        <v>40</v>
      </c>
      <c r="D18" s="41"/>
      <c r="E18" s="41"/>
      <c r="F18" s="69"/>
      <c r="G18" s="63">
        <f>H18+I18+J18</f>
        <v>508700</v>
      </c>
      <c r="H18" s="63">
        <f>H19</f>
        <v>288700</v>
      </c>
      <c r="I18" s="63">
        <f>I19</f>
        <v>110000</v>
      </c>
      <c r="J18" s="63">
        <f>J19</f>
        <v>110000</v>
      </c>
    </row>
    <row r="19" spans="1:10" ht="21" customHeight="1" x14ac:dyDescent="0.25">
      <c r="A19" s="22" t="s">
        <v>51</v>
      </c>
      <c r="B19" s="157">
        <v>350</v>
      </c>
      <c r="C19" s="157">
        <v>290</v>
      </c>
      <c r="D19" s="20"/>
      <c r="E19" s="20"/>
      <c r="F19" s="20"/>
      <c r="G19" s="73">
        <f>H19+I19+J19</f>
        <v>508700</v>
      </c>
      <c r="H19" s="62">
        <f>158060+110000-160+20800</f>
        <v>288700</v>
      </c>
      <c r="I19" s="62">
        <v>110000</v>
      </c>
      <c r="J19" s="64">
        <v>110000</v>
      </c>
    </row>
    <row r="20" spans="1:10" ht="30.75" customHeight="1" x14ac:dyDescent="0.25">
      <c r="A20" s="22" t="s">
        <v>62</v>
      </c>
      <c r="B20" s="157" t="s">
        <v>40</v>
      </c>
      <c r="C20" s="157" t="s">
        <v>40</v>
      </c>
      <c r="D20" s="25"/>
      <c r="E20" s="25"/>
      <c r="F20" s="38"/>
      <c r="G20" s="62">
        <f t="shared" ref="G20" si="3">H20+I20+J20</f>
        <v>0</v>
      </c>
      <c r="H20" s="67">
        <v>0</v>
      </c>
      <c r="I20" s="64">
        <v>0</v>
      </c>
      <c r="J20" s="64">
        <v>0</v>
      </c>
    </row>
    <row r="23" spans="1:10" ht="58.5" customHeight="1" x14ac:dyDescent="0.25">
      <c r="A23" s="194" t="s">
        <v>136</v>
      </c>
      <c r="B23" s="194"/>
      <c r="C23" s="194"/>
      <c r="D23" s="194"/>
      <c r="E23" s="194"/>
      <c r="F23" s="194"/>
      <c r="G23" s="194"/>
      <c r="H23" s="194"/>
      <c r="I23" s="194"/>
      <c r="J23" s="194"/>
    </row>
    <row r="25" spans="1:10" ht="14.25" customHeight="1" x14ac:dyDescent="0.25">
      <c r="A25" s="243" t="s">
        <v>37</v>
      </c>
      <c r="B25" s="243" t="s">
        <v>78</v>
      </c>
      <c r="C25" s="243" t="s">
        <v>39</v>
      </c>
      <c r="D25" s="243" t="s">
        <v>60</v>
      </c>
      <c r="E25" s="238" t="s">
        <v>103</v>
      </c>
      <c r="F25" s="239"/>
      <c r="G25" s="248"/>
      <c r="H25" s="247" t="s">
        <v>104</v>
      </c>
      <c r="I25" s="247"/>
      <c r="J25" s="247"/>
    </row>
    <row r="26" spans="1:10" ht="17.25" customHeight="1" x14ac:dyDescent="0.25">
      <c r="A26" s="244"/>
      <c r="B26" s="244"/>
      <c r="C26" s="244"/>
      <c r="D26" s="245"/>
      <c r="E26" s="249"/>
      <c r="F26" s="250"/>
      <c r="G26" s="251"/>
      <c r="H26" s="57" t="s">
        <v>100</v>
      </c>
      <c r="I26" s="57" t="s">
        <v>101</v>
      </c>
      <c r="J26" s="57" t="s">
        <v>102</v>
      </c>
    </row>
    <row r="27" spans="1:10" s="24" customFormat="1" ht="14.25" x14ac:dyDescent="0.25">
      <c r="A27" s="56">
        <v>1</v>
      </c>
      <c r="B27" s="56">
        <v>2</v>
      </c>
      <c r="C27" s="56">
        <v>3</v>
      </c>
      <c r="D27" s="56">
        <v>3</v>
      </c>
      <c r="E27" s="56">
        <v>4</v>
      </c>
      <c r="F27" s="56">
        <v>5</v>
      </c>
      <c r="G27" s="56">
        <v>4</v>
      </c>
      <c r="H27" s="57">
        <v>5</v>
      </c>
      <c r="I27" s="57">
        <v>6</v>
      </c>
      <c r="J27" s="57">
        <v>7</v>
      </c>
    </row>
    <row r="28" spans="1:10" ht="26.25" customHeight="1" x14ac:dyDescent="0.25">
      <c r="A28" s="22" t="s">
        <v>61</v>
      </c>
      <c r="B28" s="23"/>
      <c r="C28" s="157" t="s">
        <v>40</v>
      </c>
      <c r="D28" s="20"/>
      <c r="E28" s="20"/>
      <c r="F28" s="20"/>
      <c r="G28" s="62">
        <f>H28+I28+J28</f>
        <v>0</v>
      </c>
      <c r="H28" s="66">
        <v>0</v>
      </c>
      <c r="I28" s="64">
        <v>0</v>
      </c>
      <c r="J28" s="64">
        <v>0</v>
      </c>
    </row>
    <row r="29" spans="1:10" x14ac:dyDescent="0.25">
      <c r="A29" s="23" t="s">
        <v>63</v>
      </c>
      <c r="B29" s="23"/>
      <c r="C29" s="157" t="s">
        <v>40</v>
      </c>
      <c r="D29" s="20"/>
      <c r="E29" s="20"/>
      <c r="F29" s="20"/>
      <c r="G29" s="77">
        <f>H29+I29+J29</f>
        <v>1855000</v>
      </c>
      <c r="H29" s="77">
        <v>685000</v>
      </c>
      <c r="I29" s="78">
        <v>585000</v>
      </c>
      <c r="J29" s="78">
        <v>585000</v>
      </c>
    </row>
    <row r="30" spans="1:10" ht="23.25" customHeight="1" x14ac:dyDescent="0.25">
      <c r="A30" s="23" t="s">
        <v>41</v>
      </c>
      <c r="B30" s="23"/>
      <c r="C30" s="157" t="s">
        <v>40</v>
      </c>
      <c r="D30" s="20"/>
      <c r="E30" s="20"/>
      <c r="F30" s="20"/>
      <c r="G30" s="61">
        <f>H30+I30+J30</f>
        <v>1855000</v>
      </c>
      <c r="H30" s="61">
        <f>H31+H33+H40</f>
        <v>685000</v>
      </c>
      <c r="I30" s="61">
        <f>I31+I33+I40</f>
        <v>585000</v>
      </c>
      <c r="J30" s="61">
        <f>J31+J33+J40</f>
        <v>585000</v>
      </c>
    </row>
    <row r="31" spans="1:10" ht="61.5" customHeight="1" x14ac:dyDescent="0.25">
      <c r="A31" s="41" t="s">
        <v>133</v>
      </c>
      <c r="B31" s="41">
        <v>113</v>
      </c>
      <c r="C31" s="41" t="s">
        <v>40</v>
      </c>
      <c r="D31" s="42"/>
      <c r="E31" s="42"/>
      <c r="F31" s="42"/>
      <c r="G31" s="63">
        <f>H31+I31+J31</f>
        <v>39139.1</v>
      </c>
      <c r="H31" s="63">
        <f>H32</f>
        <v>39139.1</v>
      </c>
      <c r="I31" s="63">
        <f>I32</f>
        <v>0</v>
      </c>
      <c r="J31" s="63">
        <f>J32</f>
        <v>0</v>
      </c>
    </row>
    <row r="32" spans="1:10" ht="23.25" customHeight="1" x14ac:dyDescent="0.25">
      <c r="A32" s="22" t="s">
        <v>51</v>
      </c>
      <c r="B32" s="157">
        <v>113</v>
      </c>
      <c r="C32" s="157">
        <v>290</v>
      </c>
      <c r="D32" s="20"/>
      <c r="E32" s="20"/>
      <c r="F32" s="20"/>
      <c r="G32" s="62">
        <f t="shared" ref="G32" si="4">H32+I32+J32</f>
        <v>39139.1</v>
      </c>
      <c r="H32" s="62">
        <f>35000+4139.1</f>
        <v>39139.1</v>
      </c>
      <c r="I32" s="62">
        <v>0</v>
      </c>
      <c r="J32" s="62">
        <v>0</v>
      </c>
    </row>
    <row r="33" spans="1:10" s="19" customFormat="1" ht="56.25" customHeight="1" x14ac:dyDescent="0.25">
      <c r="A33" s="41" t="s">
        <v>80</v>
      </c>
      <c r="B33" s="41">
        <v>244</v>
      </c>
      <c r="C33" s="41" t="s">
        <v>40</v>
      </c>
      <c r="D33" s="41"/>
      <c r="E33" s="41"/>
      <c r="F33" s="43"/>
      <c r="G33" s="63">
        <f>H33+I33+J33</f>
        <v>1709860</v>
      </c>
      <c r="H33" s="63">
        <f>H34+H36+H37</f>
        <v>539860</v>
      </c>
      <c r="I33" s="63">
        <f t="shared" ref="I33:J33" si="5">I34+I36+I37</f>
        <v>585000</v>
      </c>
      <c r="J33" s="63">
        <f t="shared" si="5"/>
        <v>585000</v>
      </c>
    </row>
    <row r="34" spans="1:10" s="19" customFormat="1" ht="21.75" customHeight="1" x14ac:dyDescent="0.25">
      <c r="A34" s="162" t="s">
        <v>340</v>
      </c>
      <c r="B34" s="93">
        <v>244</v>
      </c>
      <c r="C34" s="93">
        <v>220</v>
      </c>
      <c r="D34" s="93"/>
      <c r="E34" s="93"/>
      <c r="F34" s="94"/>
      <c r="G34" s="73">
        <f>H34+I34+J34</f>
        <v>1200000</v>
      </c>
      <c r="H34" s="73">
        <f>H35</f>
        <v>400000</v>
      </c>
      <c r="I34" s="73">
        <f t="shared" ref="I34:J34" si="6">I35</f>
        <v>500000</v>
      </c>
      <c r="J34" s="73">
        <f t="shared" si="6"/>
        <v>300000</v>
      </c>
    </row>
    <row r="35" spans="1:10" ht="21" customHeight="1" x14ac:dyDescent="0.25">
      <c r="A35" s="22" t="s">
        <v>50</v>
      </c>
      <c r="B35" s="157">
        <v>244</v>
      </c>
      <c r="C35" s="157">
        <v>226</v>
      </c>
      <c r="D35" s="20"/>
      <c r="E35" s="20"/>
      <c r="F35" s="55"/>
      <c r="G35" s="72">
        <f>H35+I35+J35</f>
        <v>1200000</v>
      </c>
      <c r="H35" s="72">
        <v>400000</v>
      </c>
      <c r="I35" s="74">
        <v>500000</v>
      </c>
      <c r="J35" s="74">
        <v>300000</v>
      </c>
    </row>
    <row r="36" spans="1:10" ht="21" customHeight="1" x14ac:dyDescent="0.25">
      <c r="A36" s="23" t="s">
        <v>51</v>
      </c>
      <c r="B36" s="157">
        <v>244</v>
      </c>
      <c r="C36" s="157">
        <v>290</v>
      </c>
      <c r="D36" s="157"/>
      <c r="E36" s="157"/>
      <c r="F36" s="163"/>
      <c r="G36" s="77">
        <f t="shared" ref="G36:G39" si="7">H36+I36+J36</f>
        <v>204860</v>
      </c>
      <c r="H36" s="77">
        <f>50000-35000-13920+3780</f>
        <v>4860</v>
      </c>
      <c r="I36" s="77">
        <v>50000</v>
      </c>
      <c r="J36" s="78">
        <v>150000</v>
      </c>
    </row>
    <row r="37" spans="1:10" ht="21" customHeight="1" x14ac:dyDescent="0.25">
      <c r="A37" s="23" t="s">
        <v>52</v>
      </c>
      <c r="B37" s="157">
        <v>244</v>
      </c>
      <c r="C37" s="157">
        <v>300</v>
      </c>
      <c r="D37" s="157"/>
      <c r="E37" s="157"/>
      <c r="F37" s="163"/>
      <c r="G37" s="61">
        <f>H37+I37+J37</f>
        <v>305000</v>
      </c>
      <c r="H37" s="61">
        <f t="shared" ref="H37:J38" si="8">H38</f>
        <v>135000</v>
      </c>
      <c r="I37" s="61">
        <f t="shared" si="8"/>
        <v>35000</v>
      </c>
      <c r="J37" s="65">
        <f t="shared" si="8"/>
        <v>135000</v>
      </c>
    </row>
    <row r="38" spans="1:10" ht="42.75" customHeight="1" x14ac:dyDescent="0.25">
      <c r="A38" s="22" t="s">
        <v>54</v>
      </c>
      <c r="B38" s="157">
        <v>244</v>
      </c>
      <c r="C38" s="157">
        <v>340</v>
      </c>
      <c r="D38" s="25"/>
      <c r="E38" s="25"/>
      <c r="F38" s="10"/>
      <c r="G38" s="64">
        <f>H38+I38+J38</f>
        <v>305000</v>
      </c>
      <c r="H38" s="64">
        <f t="shared" si="8"/>
        <v>135000</v>
      </c>
      <c r="I38" s="64">
        <f t="shared" si="8"/>
        <v>35000</v>
      </c>
      <c r="J38" s="64">
        <f t="shared" si="8"/>
        <v>135000</v>
      </c>
    </row>
    <row r="39" spans="1:10" ht="32.25" customHeight="1" x14ac:dyDescent="0.25">
      <c r="A39" s="22" t="s">
        <v>57</v>
      </c>
      <c r="B39" s="157">
        <v>244</v>
      </c>
      <c r="C39" s="157">
        <v>344</v>
      </c>
      <c r="D39" s="20"/>
      <c r="E39" s="20"/>
      <c r="F39" s="55"/>
      <c r="G39" s="72">
        <f t="shared" si="7"/>
        <v>305000</v>
      </c>
      <c r="H39" s="72">
        <v>135000</v>
      </c>
      <c r="I39" s="72">
        <v>35000</v>
      </c>
      <c r="J39" s="74">
        <v>135000</v>
      </c>
    </row>
    <row r="40" spans="1:10" x14ac:dyDescent="0.25">
      <c r="A40" s="68" t="s">
        <v>130</v>
      </c>
      <c r="B40" s="41">
        <v>350</v>
      </c>
      <c r="C40" s="41" t="s">
        <v>40</v>
      </c>
      <c r="D40" s="41"/>
      <c r="E40" s="41"/>
      <c r="F40" s="69"/>
      <c r="G40" s="75">
        <f>H40+I40+J40</f>
        <v>106000.9</v>
      </c>
      <c r="H40" s="75">
        <f>H41</f>
        <v>106000.9</v>
      </c>
      <c r="I40" s="75">
        <f>I41</f>
        <v>0</v>
      </c>
      <c r="J40" s="75">
        <f>J41</f>
        <v>0</v>
      </c>
    </row>
    <row r="41" spans="1:10" ht="21" customHeight="1" x14ac:dyDescent="0.25">
      <c r="A41" s="22" t="s">
        <v>51</v>
      </c>
      <c r="B41" s="157">
        <v>350</v>
      </c>
      <c r="C41" s="157">
        <v>290</v>
      </c>
      <c r="D41" s="20"/>
      <c r="E41" s="20"/>
      <c r="F41" s="20"/>
      <c r="G41" s="72">
        <f>H41+I41+J41</f>
        <v>106000.9</v>
      </c>
      <c r="H41" s="72">
        <f>100000-4139.1+13920-3780</f>
        <v>106000.9</v>
      </c>
      <c r="I41" s="72">
        <v>0</v>
      </c>
      <c r="J41" s="74">
        <v>0</v>
      </c>
    </row>
    <row r="42" spans="1:10" ht="30.75" customHeight="1" x14ac:dyDescent="0.25">
      <c r="A42" s="22" t="s">
        <v>62</v>
      </c>
      <c r="B42" s="157" t="s">
        <v>40</v>
      </c>
      <c r="C42" s="157" t="s">
        <v>40</v>
      </c>
      <c r="D42" s="25"/>
      <c r="E42" s="25"/>
      <c r="F42" s="38"/>
      <c r="G42" s="72">
        <f t="shared" ref="G42" si="9">H42+I42+J42</f>
        <v>0</v>
      </c>
      <c r="H42" s="76">
        <v>0</v>
      </c>
      <c r="I42" s="74">
        <v>0</v>
      </c>
      <c r="J42" s="74">
        <v>0</v>
      </c>
    </row>
  </sheetData>
  <mergeCells count="15">
    <mergeCell ref="A23:J23"/>
    <mergeCell ref="A25:A26"/>
    <mergeCell ref="B25:B26"/>
    <mergeCell ref="C25:C26"/>
    <mergeCell ref="D25:D26"/>
    <mergeCell ref="E25:G26"/>
    <mergeCell ref="H25:J25"/>
    <mergeCell ref="A1:J1"/>
    <mergeCell ref="A3:J3"/>
    <mergeCell ref="A5:A6"/>
    <mergeCell ref="B5:B6"/>
    <mergeCell ref="C5:C6"/>
    <mergeCell ref="D5:D6"/>
    <mergeCell ref="E5:G6"/>
    <mergeCell ref="H5:J5"/>
  </mergeCells>
  <pageMargins left="1.1811023622047245" right="0.39370078740157483" top="0.39370078740157483" bottom="0.39370078740157483" header="0.51181102362204722" footer="0.51181102362204722"/>
  <pageSetup paperSize="9" scale="73" fitToHeight="0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topLeftCell="A3" zoomScaleNormal="100" workbookViewId="0">
      <selection activeCell="K17" sqref="K17"/>
    </sheetView>
  </sheetViews>
  <sheetFormatPr defaultRowHeight="15" x14ac:dyDescent="0.25"/>
  <cols>
    <col min="1" max="1" width="45.28515625" style="11" customWidth="1"/>
    <col min="2" max="2" width="10.140625" style="11" customWidth="1"/>
    <col min="3" max="3" width="9.140625" style="28"/>
    <col min="4" max="5" width="14.42578125" style="28" hidden="1" customWidth="1"/>
    <col min="6" max="6" width="1" style="28" hidden="1" customWidth="1"/>
    <col min="7" max="7" width="12.7109375" style="28" customWidth="1"/>
    <col min="8" max="8" width="12.85546875" style="11" customWidth="1"/>
    <col min="9" max="9" width="13.28515625" style="11" customWidth="1"/>
    <col min="10" max="10" width="13.140625" style="11" customWidth="1"/>
    <col min="11" max="16384" width="9.140625" style="11"/>
  </cols>
  <sheetData>
    <row r="1" spans="1:10" ht="30.75" customHeight="1" x14ac:dyDescent="0.25">
      <c r="A1" s="194"/>
      <c r="B1" s="194"/>
      <c r="C1" s="194"/>
      <c r="D1" s="194"/>
      <c r="E1" s="194"/>
      <c r="F1" s="194"/>
      <c r="G1" s="194"/>
      <c r="H1" s="194"/>
      <c r="I1" s="194"/>
      <c r="J1" s="194"/>
    </row>
    <row r="3" spans="1:10" ht="58.5" customHeight="1" x14ac:dyDescent="0.25">
      <c r="A3" s="194" t="s">
        <v>219</v>
      </c>
      <c r="B3" s="194"/>
      <c r="C3" s="194"/>
      <c r="D3" s="194"/>
      <c r="E3" s="194"/>
      <c r="F3" s="194"/>
      <c r="G3" s="194"/>
      <c r="H3" s="194"/>
      <c r="I3" s="194"/>
      <c r="J3" s="194"/>
    </row>
    <row r="5" spans="1:10" ht="14.25" customHeight="1" x14ac:dyDescent="0.25">
      <c r="A5" s="243" t="s">
        <v>37</v>
      </c>
      <c r="B5" s="243" t="s">
        <v>78</v>
      </c>
      <c r="C5" s="243" t="s">
        <v>39</v>
      </c>
      <c r="D5" s="243" t="s">
        <v>60</v>
      </c>
      <c r="E5" s="238" t="s">
        <v>103</v>
      </c>
      <c r="F5" s="239"/>
      <c r="G5" s="248"/>
      <c r="H5" s="247" t="s">
        <v>104</v>
      </c>
      <c r="I5" s="247"/>
      <c r="J5" s="247"/>
    </row>
    <row r="6" spans="1:10" ht="17.25" customHeight="1" x14ac:dyDescent="0.25">
      <c r="A6" s="244"/>
      <c r="B6" s="244"/>
      <c r="C6" s="244"/>
      <c r="D6" s="245"/>
      <c r="E6" s="249"/>
      <c r="F6" s="250"/>
      <c r="G6" s="251"/>
      <c r="H6" s="57" t="s">
        <v>100</v>
      </c>
      <c r="I6" s="57" t="s">
        <v>101</v>
      </c>
      <c r="J6" s="57" t="s">
        <v>102</v>
      </c>
    </row>
    <row r="7" spans="1:10" s="24" customFormat="1" ht="14.25" x14ac:dyDescent="0.25">
      <c r="A7" s="56">
        <v>1</v>
      </c>
      <c r="B7" s="56">
        <v>2</v>
      </c>
      <c r="C7" s="56">
        <v>3</v>
      </c>
      <c r="D7" s="56">
        <v>3</v>
      </c>
      <c r="E7" s="56">
        <v>4</v>
      </c>
      <c r="F7" s="56">
        <v>5</v>
      </c>
      <c r="G7" s="56">
        <v>4</v>
      </c>
      <c r="H7" s="57">
        <v>5</v>
      </c>
      <c r="I7" s="57">
        <v>6</v>
      </c>
      <c r="J7" s="57">
        <v>7</v>
      </c>
    </row>
    <row r="8" spans="1:10" ht="26.25" customHeight="1" x14ac:dyDescent="0.25">
      <c r="A8" s="22" t="s">
        <v>61</v>
      </c>
      <c r="B8" s="23"/>
      <c r="C8" s="157" t="s">
        <v>40</v>
      </c>
      <c r="D8" s="20"/>
      <c r="E8" s="20"/>
      <c r="F8" s="20"/>
      <c r="G8" s="62">
        <f t="shared" ref="G8:G13" si="0">H8+I8+J8</f>
        <v>0</v>
      </c>
      <c r="H8" s="66">
        <v>0</v>
      </c>
      <c r="I8" s="64">
        <v>0</v>
      </c>
      <c r="J8" s="64">
        <v>0</v>
      </c>
    </row>
    <row r="9" spans="1:10" x14ac:dyDescent="0.25">
      <c r="A9" s="23" t="s">
        <v>63</v>
      </c>
      <c r="B9" s="23"/>
      <c r="C9" s="157" t="s">
        <v>40</v>
      </c>
      <c r="D9" s="20"/>
      <c r="E9" s="20"/>
      <c r="F9" s="20"/>
      <c r="G9" s="77">
        <f t="shared" si="0"/>
        <v>191980</v>
      </c>
      <c r="H9" s="77">
        <f>100000+51980</f>
        <v>151980</v>
      </c>
      <c r="I9" s="78">
        <v>0</v>
      </c>
      <c r="J9" s="78">
        <v>40000</v>
      </c>
    </row>
    <row r="10" spans="1:10" ht="23.25" customHeight="1" x14ac:dyDescent="0.25">
      <c r="A10" s="23" t="s">
        <v>41</v>
      </c>
      <c r="B10" s="23"/>
      <c r="C10" s="157" t="s">
        <v>40</v>
      </c>
      <c r="D10" s="20"/>
      <c r="E10" s="20"/>
      <c r="F10" s="20"/>
      <c r="G10" s="61">
        <f t="shared" si="0"/>
        <v>191980</v>
      </c>
      <c r="H10" s="61">
        <f t="shared" ref="H10:J12" si="1">H11</f>
        <v>151980</v>
      </c>
      <c r="I10" s="61">
        <f t="shared" si="1"/>
        <v>0</v>
      </c>
      <c r="J10" s="61">
        <f t="shared" si="1"/>
        <v>40000</v>
      </c>
    </row>
    <row r="11" spans="1:10" ht="58.5" customHeight="1" x14ac:dyDescent="0.25">
      <c r="A11" s="41" t="s">
        <v>80</v>
      </c>
      <c r="B11" s="41">
        <v>244</v>
      </c>
      <c r="C11" s="41" t="s">
        <v>40</v>
      </c>
      <c r="D11" s="41"/>
      <c r="E11" s="41"/>
      <c r="F11" s="43"/>
      <c r="G11" s="63">
        <f t="shared" si="0"/>
        <v>191980</v>
      </c>
      <c r="H11" s="63">
        <f t="shared" si="1"/>
        <v>151980</v>
      </c>
      <c r="I11" s="63">
        <f t="shared" si="1"/>
        <v>0</v>
      </c>
      <c r="J11" s="63">
        <f t="shared" si="1"/>
        <v>40000</v>
      </c>
    </row>
    <row r="12" spans="1:10" s="19" customFormat="1" ht="21.75" customHeight="1" x14ac:dyDescent="0.25">
      <c r="A12" s="162" t="s">
        <v>340</v>
      </c>
      <c r="B12" s="93">
        <v>244</v>
      </c>
      <c r="C12" s="93">
        <v>220</v>
      </c>
      <c r="D12" s="93"/>
      <c r="E12" s="93"/>
      <c r="F12" s="94"/>
      <c r="G12" s="73">
        <f t="shared" si="0"/>
        <v>191980</v>
      </c>
      <c r="H12" s="73">
        <f t="shared" si="1"/>
        <v>151980</v>
      </c>
      <c r="I12" s="73">
        <f t="shared" si="1"/>
        <v>0</v>
      </c>
      <c r="J12" s="73">
        <f t="shared" si="1"/>
        <v>40000</v>
      </c>
    </row>
    <row r="13" spans="1:10" ht="21" customHeight="1" x14ac:dyDescent="0.25">
      <c r="A13" s="22" t="s">
        <v>50</v>
      </c>
      <c r="B13" s="157">
        <v>244</v>
      </c>
      <c r="C13" s="157">
        <v>226</v>
      </c>
      <c r="D13" s="20"/>
      <c r="E13" s="20"/>
      <c r="F13" s="55"/>
      <c r="G13" s="72">
        <f t="shared" si="0"/>
        <v>191980</v>
      </c>
      <c r="H13" s="72">
        <f>100000+51980</f>
        <v>151980</v>
      </c>
      <c r="I13" s="74">
        <v>0</v>
      </c>
      <c r="J13" s="74">
        <v>40000</v>
      </c>
    </row>
    <row r="14" spans="1:10" ht="30.75" customHeight="1" x14ac:dyDescent="0.25">
      <c r="A14" s="22" t="s">
        <v>62</v>
      </c>
      <c r="B14" s="157" t="s">
        <v>40</v>
      </c>
      <c r="C14" s="157" t="s">
        <v>40</v>
      </c>
      <c r="D14" s="25"/>
      <c r="E14" s="25"/>
      <c r="F14" s="38"/>
      <c r="G14" s="72">
        <f t="shared" ref="G14" si="2">H14+I14+J14</f>
        <v>0</v>
      </c>
      <c r="H14" s="76">
        <v>0</v>
      </c>
      <c r="I14" s="74">
        <v>0</v>
      </c>
      <c r="J14" s="74">
        <v>0</v>
      </c>
    </row>
    <row r="17" spans="1:10" ht="58.5" customHeight="1" x14ac:dyDescent="0.25">
      <c r="A17" s="194" t="s">
        <v>220</v>
      </c>
      <c r="B17" s="194"/>
      <c r="C17" s="194"/>
      <c r="D17" s="194"/>
      <c r="E17" s="194"/>
      <c r="F17" s="194"/>
      <c r="G17" s="194"/>
      <c r="H17" s="194"/>
      <c r="I17" s="194"/>
      <c r="J17" s="194"/>
    </row>
    <row r="19" spans="1:10" ht="14.25" customHeight="1" x14ac:dyDescent="0.25">
      <c r="A19" s="243" t="s">
        <v>37</v>
      </c>
      <c r="B19" s="243" t="s">
        <v>78</v>
      </c>
      <c r="C19" s="243" t="s">
        <v>39</v>
      </c>
      <c r="D19" s="243" t="s">
        <v>60</v>
      </c>
      <c r="E19" s="238" t="s">
        <v>103</v>
      </c>
      <c r="F19" s="239"/>
      <c r="G19" s="248"/>
      <c r="H19" s="247" t="s">
        <v>104</v>
      </c>
      <c r="I19" s="247"/>
      <c r="J19" s="247"/>
    </row>
    <row r="20" spans="1:10" ht="17.25" customHeight="1" x14ac:dyDescent="0.25">
      <c r="A20" s="244"/>
      <c r="B20" s="244"/>
      <c r="C20" s="244"/>
      <c r="D20" s="245"/>
      <c r="E20" s="249"/>
      <c r="F20" s="250"/>
      <c r="G20" s="251"/>
      <c r="H20" s="92" t="s">
        <v>100</v>
      </c>
      <c r="I20" s="92" t="s">
        <v>101</v>
      </c>
      <c r="J20" s="92" t="s">
        <v>102</v>
      </c>
    </row>
    <row r="21" spans="1:10" s="24" customFormat="1" ht="14.25" x14ac:dyDescent="0.25">
      <c r="A21" s="91">
        <v>1</v>
      </c>
      <c r="B21" s="91">
        <v>2</v>
      </c>
      <c r="C21" s="91">
        <v>3</v>
      </c>
      <c r="D21" s="91">
        <v>3</v>
      </c>
      <c r="E21" s="91">
        <v>4</v>
      </c>
      <c r="F21" s="91">
        <v>5</v>
      </c>
      <c r="G21" s="91">
        <v>4</v>
      </c>
      <c r="H21" s="92">
        <v>5</v>
      </c>
      <c r="I21" s="92">
        <v>6</v>
      </c>
      <c r="J21" s="92">
        <v>7</v>
      </c>
    </row>
    <row r="22" spans="1:10" ht="26.25" customHeight="1" x14ac:dyDescent="0.25">
      <c r="A22" s="22" t="s">
        <v>61</v>
      </c>
      <c r="B22" s="23"/>
      <c r="C22" s="157" t="s">
        <v>40</v>
      </c>
      <c r="D22" s="20"/>
      <c r="E22" s="20"/>
      <c r="F22" s="20"/>
      <c r="G22" s="62">
        <f t="shared" ref="G22:G28" si="3">H22+I22+J22</f>
        <v>0</v>
      </c>
      <c r="H22" s="66">
        <v>0</v>
      </c>
      <c r="I22" s="64">
        <v>0</v>
      </c>
      <c r="J22" s="64">
        <v>0</v>
      </c>
    </row>
    <row r="23" spans="1:10" x14ac:dyDescent="0.25">
      <c r="A23" s="23" t="s">
        <v>63</v>
      </c>
      <c r="B23" s="23"/>
      <c r="C23" s="157" t="s">
        <v>40</v>
      </c>
      <c r="D23" s="20"/>
      <c r="E23" s="20"/>
      <c r="F23" s="20"/>
      <c r="G23" s="77">
        <f>H23+I23+J23</f>
        <v>234600</v>
      </c>
      <c r="H23" s="77">
        <v>0</v>
      </c>
      <c r="I23" s="78">
        <v>234600</v>
      </c>
      <c r="J23" s="78">
        <v>0</v>
      </c>
    </row>
    <row r="24" spans="1:10" ht="23.25" customHeight="1" x14ac:dyDescent="0.25">
      <c r="A24" s="23" t="s">
        <v>41</v>
      </c>
      <c r="B24" s="23"/>
      <c r="C24" s="157" t="s">
        <v>40</v>
      </c>
      <c r="D24" s="20"/>
      <c r="E24" s="20"/>
      <c r="F24" s="20"/>
      <c r="G24" s="61">
        <f>H24+I24+J24</f>
        <v>234600</v>
      </c>
      <c r="H24" s="61">
        <f t="shared" ref="H24:J25" si="4">H25</f>
        <v>0</v>
      </c>
      <c r="I24" s="61">
        <f t="shared" si="4"/>
        <v>234600</v>
      </c>
      <c r="J24" s="61">
        <f t="shared" si="4"/>
        <v>0</v>
      </c>
    </row>
    <row r="25" spans="1:10" ht="57" customHeight="1" x14ac:dyDescent="0.25">
      <c r="A25" s="41" t="s">
        <v>80</v>
      </c>
      <c r="B25" s="41">
        <v>244</v>
      </c>
      <c r="C25" s="41" t="s">
        <v>40</v>
      </c>
      <c r="D25" s="41"/>
      <c r="E25" s="41"/>
      <c r="F25" s="43"/>
      <c r="G25" s="63">
        <f>H25+I25+J25</f>
        <v>234600</v>
      </c>
      <c r="H25" s="63">
        <f t="shared" si="4"/>
        <v>0</v>
      </c>
      <c r="I25" s="63">
        <f t="shared" si="4"/>
        <v>234600</v>
      </c>
      <c r="J25" s="63">
        <f t="shared" si="4"/>
        <v>0</v>
      </c>
    </row>
    <row r="26" spans="1:10" s="19" customFormat="1" ht="21.75" customHeight="1" x14ac:dyDescent="0.25">
      <c r="A26" s="162" t="s">
        <v>340</v>
      </c>
      <c r="B26" s="93">
        <v>244</v>
      </c>
      <c r="C26" s="93">
        <v>220</v>
      </c>
      <c r="D26" s="93"/>
      <c r="E26" s="93"/>
      <c r="F26" s="94"/>
      <c r="G26" s="73">
        <f>H26+I26+J26</f>
        <v>234600</v>
      </c>
      <c r="H26" s="73">
        <f>H28+H27</f>
        <v>0</v>
      </c>
      <c r="I26" s="73">
        <f>I28+I27</f>
        <v>234600</v>
      </c>
      <c r="J26" s="73">
        <f>J28+J27</f>
        <v>0</v>
      </c>
    </row>
    <row r="27" spans="1:10" s="95" customFormat="1" ht="21.75" customHeight="1" x14ac:dyDescent="0.25">
      <c r="A27" s="96" t="s">
        <v>49</v>
      </c>
      <c r="B27" s="157">
        <v>244</v>
      </c>
      <c r="C27" s="93">
        <v>225</v>
      </c>
      <c r="D27" s="93"/>
      <c r="E27" s="93"/>
      <c r="F27" s="94"/>
      <c r="G27" s="72">
        <f t="shared" si="3"/>
        <v>199000</v>
      </c>
      <c r="H27" s="97">
        <v>0</v>
      </c>
      <c r="I27" s="97">
        <v>199000</v>
      </c>
      <c r="J27" s="97">
        <v>0</v>
      </c>
    </row>
    <row r="28" spans="1:10" ht="21" customHeight="1" x14ac:dyDescent="0.25">
      <c r="A28" s="22" t="s">
        <v>50</v>
      </c>
      <c r="B28" s="157">
        <v>244</v>
      </c>
      <c r="C28" s="157">
        <v>226</v>
      </c>
      <c r="D28" s="20"/>
      <c r="E28" s="20"/>
      <c r="F28" s="90"/>
      <c r="G28" s="72">
        <f t="shared" si="3"/>
        <v>35600</v>
      </c>
      <c r="H28" s="72">
        <v>0</v>
      </c>
      <c r="I28" s="74">
        <v>35600</v>
      </c>
      <c r="J28" s="74">
        <v>0</v>
      </c>
    </row>
    <row r="29" spans="1:10" ht="30.75" customHeight="1" x14ac:dyDescent="0.25">
      <c r="A29" s="22" t="s">
        <v>62</v>
      </c>
      <c r="B29" s="157" t="s">
        <v>40</v>
      </c>
      <c r="C29" s="157" t="s">
        <v>40</v>
      </c>
      <c r="D29" s="25"/>
      <c r="E29" s="25"/>
      <c r="F29" s="38"/>
      <c r="G29" s="72">
        <f t="shared" ref="G29" si="5">H29+I29+J29</f>
        <v>0</v>
      </c>
      <c r="H29" s="76">
        <v>0</v>
      </c>
      <c r="I29" s="74">
        <v>0</v>
      </c>
      <c r="J29" s="74">
        <v>0</v>
      </c>
    </row>
  </sheetData>
  <mergeCells count="15">
    <mergeCell ref="A17:J17"/>
    <mergeCell ref="A19:A20"/>
    <mergeCell ref="B19:B20"/>
    <mergeCell ref="C19:C20"/>
    <mergeCell ref="D19:D20"/>
    <mergeCell ref="E19:G20"/>
    <mergeCell ref="H19:J19"/>
    <mergeCell ref="A1:J1"/>
    <mergeCell ref="A3:J3"/>
    <mergeCell ref="A5:A6"/>
    <mergeCell ref="B5:B6"/>
    <mergeCell ref="C5:C6"/>
    <mergeCell ref="D5:D6"/>
    <mergeCell ref="E5:G6"/>
    <mergeCell ref="H5:J5"/>
  </mergeCells>
  <pageMargins left="1.1811023622047245" right="0.39370078740157483" top="0.39370078740157483" bottom="0.39370078740157483" header="0.51181102362204722" footer="0.51181102362204722"/>
  <pageSetup paperSize="9" scale="73" fitToHeight="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4"/>
  <sheetViews>
    <sheetView workbookViewId="0">
      <selection activeCell="A4" sqref="A4"/>
    </sheetView>
  </sheetViews>
  <sheetFormatPr defaultRowHeight="15" x14ac:dyDescent="0.25"/>
  <cols>
    <col min="1" max="1" width="33.140625" customWidth="1"/>
    <col min="4" max="4" width="0.28515625" hidden="1" customWidth="1"/>
    <col min="5" max="5" width="0.140625" hidden="1" customWidth="1"/>
    <col min="6" max="6" width="9.140625" hidden="1" customWidth="1"/>
    <col min="8" max="8" width="13.28515625" customWidth="1"/>
    <col min="9" max="9" width="11.7109375" customWidth="1"/>
    <col min="10" max="10" width="13.42578125" customWidth="1"/>
  </cols>
  <sheetData>
    <row r="3" spans="1:10" ht="53.25" customHeight="1" x14ac:dyDescent="0.25">
      <c r="A3" s="194" t="s">
        <v>360</v>
      </c>
      <c r="B3" s="194"/>
      <c r="C3" s="194"/>
      <c r="D3" s="194"/>
      <c r="E3" s="194"/>
      <c r="F3" s="194"/>
      <c r="G3" s="194"/>
      <c r="H3" s="194"/>
      <c r="I3" s="194"/>
      <c r="J3" s="194"/>
    </row>
    <row r="4" spans="1:10" x14ac:dyDescent="0.25">
      <c r="A4" s="11"/>
      <c r="B4" s="11"/>
      <c r="C4" s="28"/>
      <c r="D4" s="28"/>
      <c r="E4" s="28"/>
      <c r="F4" s="28"/>
      <c r="G4" s="28"/>
      <c r="H4" s="11"/>
      <c r="I4" s="11"/>
      <c r="J4" s="11"/>
    </row>
    <row r="6" spans="1:10" ht="15" customHeight="1" x14ac:dyDescent="0.25">
      <c r="A6" s="243" t="s">
        <v>37</v>
      </c>
      <c r="B6" s="243" t="s">
        <v>78</v>
      </c>
      <c r="C6" s="243" t="s">
        <v>39</v>
      </c>
      <c r="D6" s="243" t="s">
        <v>60</v>
      </c>
      <c r="E6" s="238" t="s">
        <v>103</v>
      </c>
      <c r="F6" s="239"/>
      <c r="G6" s="248"/>
      <c r="H6" s="247" t="s">
        <v>104</v>
      </c>
      <c r="I6" s="247"/>
      <c r="J6" s="247"/>
    </row>
    <row r="7" spans="1:10" ht="47.25" customHeight="1" x14ac:dyDescent="0.25">
      <c r="A7" s="244"/>
      <c r="B7" s="244"/>
      <c r="C7" s="244"/>
      <c r="D7" s="245"/>
      <c r="E7" s="249"/>
      <c r="F7" s="250"/>
      <c r="G7" s="251"/>
      <c r="H7" s="176" t="s">
        <v>100</v>
      </c>
      <c r="I7" s="176" t="s">
        <v>101</v>
      </c>
      <c r="J7" s="176" t="s">
        <v>102</v>
      </c>
    </row>
    <row r="8" spans="1:10" x14ac:dyDescent="0.25">
      <c r="A8" s="175">
        <v>1</v>
      </c>
      <c r="B8" s="175">
        <v>2</v>
      </c>
      <c r="C8" s="175">
        <v>3</v>
      </c>
      <c r="D8" s="175">
        <v>3</v>
      </c>
      <c r="E8" s="175">
        <v>4</v>
      </c>
      <c r="F8" s="175">
        <v>5</v>
      </c>
      <c r="G8" s="175">
        <v>4</v>
      </c>
      <c r="H8" s="176">
        <v>5</v>
      </c>
      <c r="I8" s="176">
        <v>6</v>
      </c>
      <c r="J8" s="176">
        <v>7</v>
      </c>
    </row>
    <row r="9" spans="1:10" ht="37.5" customHeight="1" x14ac:dyDescent="0.25">
      <c r="A9" s="22" t="s">
        <v>61</v>
      </c>
      <c r="B9" s="23"/>
      <c r="C9" s="175" t="s">
        <v>40</v>
      </c>
      <c r="D9" s="20"/>
      <c r="E9" s="20"/>
      <c r="F9" s="20"/>
      <c r="G9" s="62">
        <f>H9+I9+J9</f>
        <v>0</v>
      </c>
      <c r="H9" s="66">
        <v>0</v>
      </c>
      <c r="I9" s="64">
        <v>0</v>
      </c>
      <c r="J9" s="64">
        <v>0</v>
      </c>
    </row>
    <row r="10" spans="1:10" x14ac:dyDescent="0.25">
      <c r="A10" s="23" t="s">
        <v>63</v>
      </c>
      <c r="B10" s="23"/>
      <c r="C10" s="175" t="s">
        <v>40</v>
      </c>
      <c r="D10" s="20"/>
      <c r="E10" s="20"/>
      <c r="F10" s="20"/>
      <c r="G10" s="61">
        <f t="shared" ref="G10:G11" si="0">H10+I10+J10</f>
        <v>6751.3</v>
      </c>
      <c r="H10" s="61">
        <v>6751.3</v>
      </c>
      <c r="I10" s="65">
        <v>0</v>
      </c>
      <c r="J10" s="65">
        <v>0</v>
      </c>
    </row>
    <row r="11" spans="1:10" x14ac:dyDescent="0.25">
      <c r="A11" s="23" t="s">
        <v>41</v>
      </c>
      <c r="B11" s="23"/>
      <c r="C11" s="175" t="s">
        <v>40</v>
      </c>
      <c r="D11" s="20"/>
      <c r="E11" s="20"/>
      <c r="F11" s="20"/>
      <c r="G11" s="61">
        <f t="shared" si="0"/>
        <v>6751.3</v>
      </c>
      <c r="H11" s="61">
        <f>H12</f>
        <v>6751.3</v>
      </c>
      <c r="I11" s="65">
        <v>0</v>
      </c>
      <c r="J11" s="65">
        <v>0</v>
      </c>
    </row>
    <row r="12" spans="1:10" ht="43.5" x14ac:dyDescent="0.25">
      <c r="A12" s="41" t="s">
        <v>81</v>
      </c>
      <c r="B12" s="41">
        <v>110</v>
      </c>
      <c r="C12" s="41" t="s">
        <v>40</v>
      </c>
      <c r="D12" s="41"/>
      <c r="E12" s="41"/>
      <c r="F12" s="43"/>
      <c r="G12" s="63">
        <f>H12+I12+J12</f>
        <v>6751.3</v>
      </c>
      <c r="H12" s="63">
        <f>H13</f>
        <v>6751.3</v>
      </c>
      <c r="I12" s="63">
        <v>0</v>
      </c>
      <c r="J12" s="63">
        <v>0</v>
      </c>
    </row>
    <row r="13" spans="1:10" x14ac:dyDescent="0.25">
      <c r="A13" s="22" t="s">
        <v>43</v>
      </c>
      <c r="B13" s="175">
        <v>112</v>
      </c>
      <c r="C13" s="175">
        <v>212</v>
      </c>
      <c r="D13" s="20"/>
      <c r="E13" s="20"/>
      <c r="F13" s="90"/>
      <c r="G13" s="62">
        <f>H13+I13+J13</f>
        <v>6751.3</v>
      </c>
      <c r="H13" s="62">
        <v>6751.3</v>
      </c>
      <c r="I13" s="64">
        <v>0</v>
      </c>
      <c r="J13" s="64">
        <v>0</v>
      </c>
    </row>
    <row r="14" spans="1:10" ht="30" x14ac:dyDescent="0.25">
      <c r="A14" s="22" t="s">
        <v>62</v>
      </c>
      <c r="B14" s="175" t="s">
        <v>40</v>
      </c>
      <c r="C14" s="175" t="s">
        <v>40</v>
      </c>
      <c r="D14" s="25"/>
      <c r="E14" s="25"/>
      <c r="F14" s="38"/>
      <c r="G14" s="62">
        <f t="shared" ref="G14" si="1">H14+I14+J14</f>
        <v>0</v>
      </c>
      <c r="H14" s="67">
        <v>0</v>
      </c>
      <c r="I14" s="64">
        <v>0</v>
      </c>
      <c r="J14" s="64">
        <v>0</v>
      </c>
    </row>
  </sheetData>
  <mergeCells count="7">
    <mergeCell ref="H6:J6"/>
    <mergeCell ref="A3:J3"/>
    <mergeCell ref="A6:A7"/>
    <mergeCell ref="B6:B7"/>
    <mergeCell ref="C6:C7"/>
    <mergeCell ref="D6:D7"/>
    <mergeCell ref="E6:G7"/>
  </mergeCells>
  <pageMargins left="0.70866141732283472" right="0.24" top="0.74803149606299213" bottom="0.74803149606299213" header="0.31496062992125984" footer="0.31496062992125984"/>
  <pageSetup paperSize="9" scale="90" orientation="portrait" copies="2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"/>
  <sheetViews>
    <sheetView workbookViewId="0">
      <selection activeCell="H7" sqref="H7"/>
    </sheetView>
  </sheetViews>
  <sheetFormatPr defaultRowHeight="15" x14ac:dyDescent="0.25"/>
  <cols>
    <col min="1" max="1" width="48" style="11" customWidth="1"/>
    <col min="2" max="2" width="10.140625" style="28" customWidth="1"/>
    <col min="3" max="3" width="9.140625" style="26"/>
    <col min="4" max="6" width="14.42578125" style="26" hidden="1" customWidth="1"/>
    <col min="7" max="7" width="16" style="26" customWidth="1"/>
    <col min="8" max="8" width="15.42578125" style="11" customWidth="1"/>
    <col min="9" max="9" width="15.28515625" style="11" customWidth="1"/>
    <col min="10" max="10" width="13.85546875" style="11" customWidth="1"/>
    <col min="11" max="16384" width="9.140625" style="11"/>
  </cols>
  <sheetData>
    <row r="1" spans="1:10" ht="68.25" customHeight="1" x14ac:dyDescent="0.25">
      <c r="A1" s="194" t="s">
        <v>267</v>
      </c>
      <c r="B1" s="194"/>
      <c r="C1" s="194"/>
      <c r="D1" s="194"/>
      <c r="E1" s="194"/>
      <c r="F1" s="194"/>
      <c r="G1" s="194"/>
      <c r="H1" s="194"/>
      <c r="I1" s="194"/>
      <c r="J1" s="194"/>
    </row>
    <row r="2" spans="1:10" ht="9.75" customHeight="1" x14ac:dyDescent="0.25"/>
    <row r="3" spans="1:10" ht="14.25" customHeight="1" x14ac:dyDescent="0.25">
      <c r="A3" s="243" t="s">
        <v>37</v>
      </c>
      <c r="B3" s="243" t="s">
        <v>78</v>
      </c>
      <c r="C3" s="243" t="s">
        <v>39</v>
      </c>
      <c r="D3" s="243" t="s">
        <v>60</v>
      </c>
      <c r="E3" s="238" t="s">
        <v>103</v>
      </c>
      <c r="F3" s="239"/>
      <c r="G3" s="248"/>
      <c r="H3" s="247" t="s">
        <v>104</v>
      </c>
      <c r="I3" s="247"/>
      <c r="J3" s="247"/>
    </row>
    <row r="4" spans="1:10" ht="27.75" customHeight="1" x14ac:dyDescent="0.25">
      <c r="A4" s="244"/>
      <c r="B4" s="244"/>
      <c r="C4" s="244"/>
      <c r="D4" s="245"/>
      <c r="E4" s="249"/>
      <c r="F4" s="250"/>
      <c r="G4" s="251"/>
      <c r="H4" s="47" t="s">
        <v>100</v>
      </c>
      <c r="I4" s="47" t="s">
        <v>101</v>
      </c>
      <c r="J4" s="47" t="s">
        <v>102</v>
      </c>
    </row>
    <row r="5" spans="1:10" s="24" customFormat="1" ht="14.25" x14ac:dyDescent="0.25">
      <c r="A5" s="18">
        <v>1</v>
      </c>
      <c r="B5" s="37">
        <v>2</v>
      </c>
      <c r="C5" s="18">
        <v>3</v>
      </c>
      <c r="D5" s="18">
        <v>3</v>
      </c>
      <c r="E5" s="46">
        <v>4</v>
      </c>
      <c r="F5" s="46">
        <v>5</v>
      </c>
      <c r="G5" s="46">
        <v>4</v>
      </c>
      <c r="H5" s="47">
        <v>5</v>
      </c>
      <c r="I5" s="47">
        <v>6</v>
      </c>
      <c r="J5" s="47">
        <v>7</v>
      </c>
    </row>
    <row r="6" spans="1:10" ht="26.25" customHeight="1" x14ac:dyDescent="0.25">
      <c r="A6" s="22" t="s">
        <v>61</v>
      </c>
      <c r="B6" s="37" t="s">
        <v>40</v>
      </c>
      <c r="C6" s="18" t="s">
        <v>40</v>
      </c>
      <c r="D6" s="20"/>
      <c r="E6" s="20"/>
      <c r="F6" s="20"/>
      <c r="G6" s="62">
        <f>H6+I6+J6</f>
        <v>1079.26</v>
      </c>
      <c r="H6" s="64">
        <v>1079.26</v>
      </c>
      <c r="I6" s="64">
        <v>0</v>
      </c>
      <c r="J6" s="64">
        <v>0</v>
      </c>
    </row>
    <row r="7" spans="1:10" x14ac:dyDescent="0.25">
      <c r="A7" s="23" t="s">
        <v>63</v>
      </c>
      <c r="B7" s="37" t="s">
        <v>40</v>
      </c>
      <c r="C7" s="18" t="s">
        <v>40</v>
      </c>
      <c r="D7" s="20"/>
      <c r="E7" s="20"/>
      <c r="F7" s="20"/>
      <c r="G7" s="61">
        <f>H7+I7+J7</f>
        <v>742824</v>
      </c>
      <c r="H7" s="65">
        <v>247608</v>
      </c>
      <c r="I7" s="65">
        <v>247608</v>
      </c>
      <c r="J7" s="65">
        <v>247608</v>
      </c>
    </row>
    <row r="8" spans="1:10" ht="21" customHeight="1" x14ac:dyDescent="0.25">
      <c r="A8" s="23" t="s">
        <v>41</v>
      </c>
      <c r="B8" s="37" t="s">
        <v>40</v>
      </c>
      <c r="C8" s="18" t="s">
        <v>40</v>
      </c>
      <c r="D8" s="20"/>
      <c r="E8" s="20"/>
      <c r="F8" s="20"/>
      <c r="G8" s="61">
        <f>H8+I8+J8</f>
        <v>743903.26</v>
      </c>
      <c r="H8" s="65">
        <f>H9+H13+H29</f>
        <v>248687.26</v>
      </c>
      <c r="I8" s="65">
        <f>I9+I13+I29</f>
        <v>247608</v>
      </c>
      <c r="J8" s="65">
        <f>J9+J13+J29</f>
        <v>247608</v>
      </c>
    </row>
    <row r="9" spans="1:10" s="19" customFormat="1" ht="29.25" x14ac:dyDescent="0.25">
      <c r="A9" s="41" t="s">
        <v>81</v>
      </c>
      <c r="B9" s="41">
        <v>110</v>
      </c>
      <c r="C9" s="41" t="s">
        <v>40</v>
      </c>
      <c r="D9" s="41"/>
      <c r="E9" s="41"/>
      <c r="F9" s="43"/>
      <c r="G9" s="63">
        <f t="shared" ref="G9:G32" si="0">H9+I9+J9</f>
        <v>0</v>
      </c>
      <c r="H9" s="63">
        <f>SUM(H10:H12)</f>
        <v>0</v>
      </c>
      <c r="I9" s="63">
        <f>SUM(I10:I12)</f>
        <v>0</v>
      </c>
      <c r="J9" s="63">
        <f>SUM(J10:J12)</f>
        <v>0</v>
      </c>
    </row>
    <row r="10" spans="1:10" x14ac:dyDescent="0.25">
      <c r="A10" s="22" t="s">
        <v>42</v>
      </c>
      <c r="B10" s="37">
        <v>111</v>
      </c>
      <c r="C10" s="18">
        <v>211</v>
      </c>
      <c r="D10" s="20"/>
      <c r="E10" s="20"/>
      <c r="F10" s="20"/>
      <c r="G10" s="62">
        <f t="shared" si="0"/>
        <v>0</v>
      </c>
      <c r="H10" s="64">
        <v>0</v>
      </c>
      <c r="I10" s="64">
        <v>0</v>
      </c>
      <c r="J10" s="64">
        <v>0</v>
      </c>
    </row>
    <row r="11" spans="1:10" x14ac:dyDescent="0.25">
      <c r="A11" s="22" t="s">
        <v>43</v>
      </c>
      <c r="B11" s="37">
        <v>112</v>
      </c>
      <c r="C11" s="18">
        <v>212</v>
      </c>
      <c r="D11" s="20"/>
      <c r="E11" s="20"/>
      <c r="F11" s="20"/>
      <c r="G11" s="62">
        <f t="shared" si="0"/>
        <v>0</v>
      </c>
      <c r="H11" s="64">
        <v>0</v>
      </c>
      <c r="I11" s="64">
        <v>0</v>
      </c>
      <c r="J11" s="64">
        <v>0</v>
      </c>
    </row>
    <row r="12" spans="1:10" ht="19.5" customHeight="1" x14ac:dyDescent="0.25">
      <c r="A12" s="22" t="s">
        <v>44</v>
      </c>
      <c r="B12" s="37">
        <v>119</v>
      </c>
      <c r="C12" s="18">
        <v>213</v>
      </c>
      <c r="D12" s="20"/>
      <c r="E12" s="20"/>
      <c r="F12" s="20"/>
      <c r="G12" s="62">
        <f t="shared" si="0"/>
        <v>0</v>
      </c>
      <c r="H12" s="64">
        <v>0</v>
      </c>
      <c r="I12" s="64">
        <v>0</v>
      </c>
      <c r="J12" s="64">
        <v>0</v>
      </c>
    </row>
    <row r="13" spans="1:10" s="19" customFormat="1" ht="57.75" x14ac:dyDescent="0.25">
      <c r="A13" s="41" t="s">
        <v>80</v>
      </c>
      <c r="B13" s="41">
        <v>244</v>
      </c>
      <c r="C13" s="41" t="s">
        <v>40</v>
      </c>
      <c r="D13" s="42"/>
      <c r="E13" s="42"/>
      <c r="F13" s="20"/>
      <c r="G13" s="63">
        <f>H13+I13+J13</f>
        <v>743903.26</v>
      </c>
      <c r="H13" s="71">
        <f>H14+H21+H22</f>
        <v>248687.26</v>
      </c>
      <c r="I13" s="71">
        <f>I14+I21+I22</f>
        <v>247608</v>
      </c>
      <c r="J13" s="71">
        <f>J14+J21+J22</f>
        <v>247608</v>
      </c>
    </row>
    <row r="14" spans="1:10" x14ac:dyDescent="0.25">
      <c r="A14" s="23" t="s">
        <v>64</v>
      </c>
      <c r="B14" s="45">
        <v>244</v>
      </c>
      <c r="C14" s="45">
        <v>220</v>
      </c>
      <c r="D14" s="20"/>
      <c r="E14" s="20"/>
      <c r="F14" s="20"/>
      <c r="G14" s="61">
        <f t="shared" si="0"/>
        <v>743903.26</v>
      </c>
      <c r="H14" s="65">
        <f>SUM(H15:H20)</f>
        <v>248687.26</v>
      </c>
      <c r="I14" s="65">
        <f>SUM(I15:I20)</f>
        <v>247608</v>
      </c>
      <c r="J14" s="65">
        <f>SUM(J15:J20)</f>
        <v>247608</v>
      </c>
    </row>
    <row r="15" spans="1:10" x14ac:dyDescent="0.25">
      <c r="A15" s="22" t="s">
        <v>45</v>
      </c>
      <c r="B15" s="37">
        <v>244</v>
      </c>
      <c r="C15" s="18">
        <v>221</v>
      </c>
      <c r="D15" s="20"/>
      <c r="E15" s="20"/>
      <c r="F15" s="20"/>
      <c r="G15" s="62">
        <f t="shared" si="0"/>
        <v>0</v>
      </c>
      <c r="H15" s="64">
        <v>0</v>
      </c>
      <c r="I15" s="64">
        <v>0</v>
      </c>
      <c r="J15" s="64">
        <v>0</v>
      </c>
    </row>
    <row r="16" spans="1:10" x14ac:dyDescent="0.25">
      <c r="A16" s="22" t="s">
        <v>46</v>
      </c>
      <c r="B16" s="37">
        <v>244</v>
      </c>
      <c r="C16" s="18">
        <v>222</v>
      </c>
      <c r="D16" s="20"/>
      <c r="E16" s="20"/>
      <c r="F16" s="20"/>
      <c r="G16" s="62">
        <f t="shared" si="0"/>
        <v>0</v>
      </c>
      <c r="H16" s="64">
        <v>0</v>
      </c>
      <c r="I16" s="64">
        <v>0</v>
      </c>
      <c r="J16" s="64">
        <v>0</v>
      </c>
    </row>
    <row r="17" spans="1:10" x14ac:dyDescent="0.25">
      <c r="A17" s="22" t="s">
        <v>47</v>
      </c>
      <c r="B17" s="37">
        <v>244</v>
      </c>
      <c r="C17" s="18">
        <v>223</v>
      </c>
      <c r="D17" s="20"/>
      <c r="E17" s="20"/>
      <c r="F17" s="20"/>
      <c r="G17" s="62">
        <f t="shared" si="0"/>
        <v>589475</v>
      </c>
      <c r="H17" s="64">
        <v>196825</v>
      </c>
      <c r="I17" s="64">
        <v>196325</v>
      </c>
      <c r="J17" s="64">
        <v>196325</v>
      </c>
    </row>
    <row r="18" spans="1:10" ht="20.25" customHeight="1" x14ac:dyDescent="0.25">
      <c r="A18" s="22" t="s">
        <v>48</v>
      </c>
      <c r="B18" s="37">
        <v>244</v>
      </c>
      <c r="C18" s="18">
        <v>224</v>
      </c>
      <c r="D18" s="20"/>
      <c r="E18" s="20"/>
      <c r="F18" s="20"/>
      <c r="G18" s="62">
        <f t="shared" si="0"/>
        <v>0</v>
      </c>
      <c r="H18" s="64">
        <v>0</v>
      </c>
      <c r="I18" s="64">
        <v>0</v>
      </c>
      <c r="J18" s="64">
        <v>0</v>
      </c>
    </row>
    <row r="19" spans="1:10" ht="21.75" customHeight="1" x14ac:dyDescent="0.25">
      <c r="A19" s="22" t="s">
        <v>49</v>
      </c>
      <c r="B19" s="37">
        <v>244</v>
      </c>
      <c r="C19" s="18">
        <v>225</v>
      </c>
      <c r="D19" s="20"/>
      <c r="E19" s="20"/>
      <c r="F19" s="20"/>
      <c r="G19" s="62">
        <f t="shared" si="0"/>
        <v>137410</v>
      </c>
      <c r="H19" s="64">
        <v>46070</v>
      </c>
      <c r="I19" s="64">
        <v>45670</v>
      </c>
      <c r="J19" s="64">
        <v>45670</v>
      </c>
    </row>
    <row r="20" spans="1:10" x14ac:dyDescent="0.25">
      <c r="A20" s="22" t="s">
        <v>50</v>
      </c>
      <c r="B20" s="37">
        <v>244</v>
      </c>
      <c r="C20" s="18">
        <v>226</v>
      </c>
      <c r="D20" s="20"/>
      <c r="E20" s="20"/>
      <c r="F20" s="20"/>
      <c r="G20" s="62">
        <f t="shared" si="0"/>
        <v>17018.260000000002</v>
      </c>
      <c r="H20" s="64">
        <v>5792.26</v>
      </c>
      <c r="I20" s="64">
        <v>5613</v>
      </c>
      <c r="J20" s="64">
        <v>5613</v>
      </c>
    </row>
    <row r="21" spans="1:10" s="19" customFormat="1" x14ac:dyDescent="0.25">
      <c r="A21" s="23" t="s">
        <v>51</v>
      </c>
      <c r="B21" s="37">
        <v>244</v>
      </c>
      <c r="C21" s="37">
        <v>290</v>
      </c>
      <c r="D21" s="37"/>
      <c r="E21" s="37"/>
      <c r="F21" s="34"/>
      <c r="G21" s="61">
        <f t="shared" si="0"/>
        <v>0</v>
      </c>
      <c r="H21" s="61">
        <v>0</v>
      </c>
      <c r="I21" s="61">
        <v>0</v>
      </c>
      <c r="J21" s="61">
        <v>0</v>
      </c>
    </row>
    <row r="22" spans="1:10" ht="22.5" customHeight="1" x14ac:dyDescent="0.25">
      <c r="A22" s="23" t="s">
        <v>52</v>
      </c>
      <c r="B22" s="37">
        <v>244</v>
      </c>
      <c r="C22" s="18">
        <v>300</v>
      </c>
      <c r="D22" s="25"/>
      <c r="E22" s="25"/>
      <c r="F22" s="25"/>
      <c r="G22" s="61">
        <f t="shared" si="0"/>
        <v>0</v>
      </c>
      <c r="H22" s="65">
        <f>H23+H24</f>
        <v>0</v>
      </c>
      <c r="I22" s="65">
        <f>I23+I24</f>
        <v>0</v>
      </c>
      <c r="J22" s="65">
        <f>J23+J24</f>
        <v>0</v>
      </c>
    </row>
    <row r="23" spans="1:10" ht="20.25" customHeight="1" x14ac:dyDescent="0.25">
      <c r="A23" s="22" t="s">
        <v>53</v>
      </c>
      <c r="B23" s="37">
        <v>244</v>
      </c>
      <c r="C23" s="18">
        <v>310</v>
      </c>
      <c r="D23" s="25"/>
      <c r="E23" s="25"/>
      <c r="F23" s="25"/>
      <c r="G23" s="62">
        <f t="shared" si="0"/>
        <v>0</v>
      </c>
      <c r="H23" s="64">
        <v>0</v>
      </c>
      <c r="I23" s="64">
        <v>0</v>
      </c>
      <c r="J23" s="64">
        <v>0</v>
      </c>
    </row>
    <row r="24" spans="1:10" ht="30" customHeight="1" x14ac:dyDescent="0.25">
      <c r="A24" s="22" t="s">
        <v>69</v>
      </c>
      <c r="B24" s="37">
        <v>244</v>
      </c>
      <c r="C24" s="18">
        <v>340</v>
      </c>
      <c r="D24" s="25"/>
      <c r="E24" s="25"/>
      <c r="F24" s="25"/>
      <c r="G24" s="62">
        <f t="shared" si="0"/>
        <v>0</v>
      </c>
      <c r="H24" s="64">
        <f>SUM(H25:H28)</f>
        <v>0</v>
      </c>
      <c r="I24" s="64">
        <f>SUM(I25:I28)</f>
        <v>0</v>
      </c>
      <c r="J24" s="64">
        <f>SUM(J25:J28)</f>
        <v>0</v>
      </c>
    </row>
    <row r="25" spans="1:10" ht="33" customHeight="1" x14ac:dyDescent="0.25">
      <c r="A25" s="22" t="s">
        <v>58</v>
      </c>
      <c r="B25" s="37">
        <v>244</v>
      </c>
      <c r="C25" s="18">
        <v>341</v>
      </c>
      <c r="D25" s="25"/>
      <c r="E25" s="25"/>
      <c r="F25" s="25"/>
      <c r="G25" s="62">
        <f t="shared" si="0"/>
        <v>0</v>
      </c>
      <c r="H25" s="64">
        <v>0</v>
      </c>
      <c r="I25" s="64">
        <v>0</v>
      </c>
      <c r="J25" s="64">
        <v>0</v>
      </c>
    </row>
    <row r="26" spans="1:10" x14ac:dyDescent="0.25">
      <c r="A26" s="22" t="s">
        <v>55</v>
      </c>
      <c r="B26" s="37">
        <v>244</v>
      </c>
      <c r="C26" s="18">
        <v>342</v>
      </c>
      <c r="D26" s="25"/>
      <c r="E26" s="25"/>
      <c r="F26" s="25"/>
      <c r="G26" s="62">
        <f t="shared" si="0"/>
        <v>0</v>
      </c>
      <c r="H26" s="64">
        <v>0</v>
      </c>
      <c r="I26" s="64">
        <v>0</v>
      </c>
      <c r="J26" s="64">
        <v>0</v>
      </c>
    </row>
    <row r="27" spans="1:10" x14ac:dyDescent="0.25">
      <c r="A27" s="22" t="s">
        <v>56</v>
      </c>
      <c r="B27" s="37">
        <v>244</v>
      </c>
      <c r="C27" s="18">
        <v>343</v>
      </c>
      <c r="D27" s="25"/>
      <c r="E27" s="25"/>
      <c r="F27" s="25"/>
      <c r="G27" s="62">
        <f t="shared" si="0"/>
        <v>0</v>
      </c>
      <c r="H27" s="64">
        <v>0</v>
      </c>
      <c r="I27" s="64">
        <v>0</v>
      </c>
      <c r="J27" s="64">
        <v>0</v>
      </c>
    </row>
    <row r="28" spans="1:10" ht="33" customHeight="1" x14ac:dyDescent="0.25">
      <c r="A28" s="22" t="s">
        <v>57</v>
      </c>
      <c r="B28" s="37">
        <v>244</v>
      </c>
      <c r="C28" s="18">
        <v>344</v>
      </c>
      <c r="D28" s="25"/>
      <c r="E28" s="25"/>
      <c r="F28" s="25"/>
      <c r="G28" s="62">
        <f t="shared" si="0"/>
        <v>0</v>
      </c>
      <c r="H28" s="64">
        <v>0</v>
      </c>
      <c r="I28" s="64">
        <v>0</v>
      </c>
      <c r="J28" s="64">
        <v>0</v>
      </c>
    </row>
    <row r="29" spans="1:10" s="19" customFormat="1" ht="28.5" x14ac:dyDescent="0.25">
      <c r="A29" s="41" t="s">
        <v>82</v>
      </c>
      <c r="B29" s="41">
        <v>850</v>
      </c>
      <c r="C29" s="41" t="s">
        <v>40</v>
      </c>
      <c r="D29" s="41"/>
      <c r="E29" s="41"/>
      <c r="F29" s="43"/>
      <c r="G29" s="63">
        <f t="shared" si="0"/>
        <v>0</v>
      </c>
      <c r="H29" s="63">
        <f>SUM(H30:H31)</f>
        <v>0</v>
      </c>
      <c r="I29" s="63">
        <f>SUM(I30:I31)</f>
        <v>0</v>
      </c>
      <c r="J29" s="63">
        <f>SUM(J30:J31)</f>
        <v>0</v>
      </c>
    </row>
    <row r="30" spans="1:10" s="19" customFormat="1" ht="28.5" x14ac:dyDescent="0.25">
      <c r="A30" s="23" t="s">
        <v>79</v>
      </c>
      <c r="B30" s="157">
        <v>851</v>
      </c>
      <c r="C30" s="157">
        <v>290</v>
      </c>
      <c r="D30" s="157"/>
      <c r="E30" s="157"/>
      <c r="F30" s="34"/>
      <c r="G30" s="61">
        <f t="shared" si="0"/>
        <v>0</v>
      </c>
      <c r="H30" s="61">
        <v>0</v>
      </c>
      <c r="I30" s="61">
        <v>0</v>
      </c>
      <c r="J30" s="61">
        <v>0</v>
      </c>
    </row>
    <row r="31" spans="1:10" s="19" customFormat="1" x14ac:dyDescent="0.25">
      <c r="A31" s="23" t="s">
        <v>76</v>
      </c>
      <c r="B31" s="157">
        <v>852</v>
      </c>
      <c r="C31" s="157">
        <v>290</v>
      </c>
      <c r="D31" s="157"/>
      <c r="E31" s="157"/>
      <c r="F31" s="34"/>
      <c r="G31" s="61">
        <f t="shared" si="0"/>
        <v>0</v>
      </c>
      <c r="H31" s="61">
        <v>0</v>
      </c>
      <c r="I31" s="61">
        <v>0</v>
      </c>
      <c r="J31" s="61">
        <v>0</v>
      </c>
    </row>
    <row r="32" spans="1:10" ht="24" customHeight="1" x14ac:dyDescent="0.25">
      <c r="A32" s="22" t="s">
        <v>62</v>
      </c>
      <c r="B32" s="37" t="s">
        <v>40</v>
      </c>
      <c r="C32" s="18" t="s">
        <v>40</v>
      </c>
      <c r="D32" s="25"/>
      <c r="E32" s="25"/>
      <c r="F32" s="25"/>
      <c r="G32" s="62">
        <f t="shared" si="0"/>
        <v>0</v>
      </c>
      <c r="H32" s="64">
        <v>0</v>
      </c>
      <c r="I32" s="64">
        <v>0</v>
      </c>
      <c r="J32" s="64">
        <v>0</v>
      </c>
    </row>
  </sheetData>
  <mergeCells count="7">
    <mergeCell ref="H3:J3"/>
    <mergeCell ref="A1:J1"/>
    <mergeCell ref="A3:A4"/>
    <mergeCell ref="C3:C4"/>
    <mergeCell ref="D3:D4"/>
    <mergeCell ref="E3:G4"/>
    <mergeCell ref="B3:B4"/>
  </mergeCells>
  <phoneticPr fontId="12" type="noConversion"/>
  <pageMargins left="1.1811023622047245" right="0.39370078740157483" top="0.39370078740157483" bottom="0.39370078740157483" header="0.51181102362204722" footer="0.51181102362204722"/>
  <pageSetup paperSize="9" scale="66" fitToHeight="0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zoomScaleNormal="100" workbookViewId="0">
      <selection activeCell="H20" sqref="H20"/>
    </sheetView>
  </sheetViews>
  <sheetFormatPr defaultRowHeight="15" x14ac:dyDescent="0.25"/>
  <cols>
    <col min="1" max="1" width="46" style="11" customWidth="1"/>
    <col min="2" max="2" width="10.140625" style="28" customWidth="1"/>
    <col min="3" max="3" width="11.5703125" style="26" customWidth="1"/>
    <col min="4" max="6" width="14.42578125" style="26" hidden="1" customWidth="1"/>
    <col min="7" max="7" width="13.7109375" style="26" customWidth="1"/>
    <col min="8" max="8" width="17.140625" style="11" customWidth="1"/>
    <col min="9" max="9" width="15.5703125" style="11" customWidth="1"/>
    <col min="10" max="10" width="16.28515625" style="11" customWidth="1"/>
    <col min="11" max="16384" width="9.140625" style="11"/>
  </cols>
  <sheetData>
    <row r="1" spans="1:10" ht="62.25" customHeight="1" x14ac:dyDescent="0.25">
      <c r="A1" s="252" t="s">
        <v>266</v>
      </c>
      <c r="B1" s="252"/>
      <c r="C1" s="252"/>
      <c r="D1" s="252"/>
      <c r="E1" s="252"/>
      <c r="F1" s="252"/>
      <c r="G1" s="252"/>
      <c r="H1" s="252"/>
      <c r="I1" s="252"/>
      <c r="J1" s="252"/>
    </row>
    <row r="2" spans="1:10" ht="14.25" customHeight="1" x14ac:dyDescent="0.25">
      <c r="A2" s="243" t="s">
        <v>37</v>
      </c>
      <c r="B2" s="243" t="s">
        <v>78</v>
      </c>
      <c r="C2" s="243" t="s">
        <v>39</v>
      </c>
      <c r="D2" s="243" t="s">
        <v>60</v>
      </c>
      <c r="E2" s="238" t="s">
        <v>103</v>
      </c>
      <c r="F2" s="239"/>
      <c r="G2" s="248"/>
      <c r="H2" s="247" t="s">
        <v>104</v>
      </c>
      <c r="I2" s="247"/>
      <c r="J2" s="247"/>
    </row>
    <row r="3" spans="1:10" ht="17.25" customHeight="1" x14ac:dyDescent="0.25">
      <c r="A3" s="244"/>
      <c r="B3" s="244"/>
      <c r="C3" s="244"/>
      <c r="D3" s="245"/>
      <c r="E3" s="249"/>
      <c r="F3" s="250"/>
      <c r="G3" s="251"/>
      <c r="H3" s="47" t="s">
        <v>100</v>
      </c>
      <c r="I3" s="47" t="s">
        <v>101</v>
      </c>
      <c r="J3" s="47" t="s">
        <v>102</v>
      </c>
    </row>
    <row r="4" spans="1:10" s="24" customFormat="1" ht="14.25" x14ac:dyDescent="0.25">
      <c r="A4" s="18">
        <v>1</v>
      </c>
      <c r="B4" s="37">
        <v>2</v>
      </c>
      <c r="C4" s="18">
        <v>3</v>
      </c>
      <c r="D4" s="18">
        <v>3</v>
      </c>
      <c r="E4" s="46">
        <v>4</v>
      </c>
      <c r="F4" s="46">
        <v>5</v>
      </c>
      <c r="G4" s="46">
        <v>4</v>
      </c>
      <c r="H4" s="47">
        <v>5</v>
      </c>
      <c r="I4" s="47">
        <v>6</v>
      </c>
      <c r="J4" s="47">
        <v>7</v>
      </c>
    </row>
    <row r="5" spans="1:10" ht="21" customHeight="1" x14ac:dyDescent="0.25">
      <c r="A5" s="22" t="s">
        <v>61</v>
      </c>
      <c r="B5" s="37" t="s">
        <v>40</v>
      </c>
      <c r="C5" s="18" t="s">
        <v>40</v>
      </c>
      <c r="D5" s="20"/>
      <c r="E5" s="20"/>
      <c r="F5" s="20"/>
      <c r="G5" s="62">
        <f>H5+I5+J5</f>
        <v>276363.99</v>
      </c>
      <c r="H5" s="64">
        <f>262497.11+21.92+13844.96</f>
        <v>276363.99</v>
      </c>
      <c r="I5" s="64">
        <v>0</v>
      </c>
      <c r="J5" s="64">
        <v>0</v>
      </c>
    </row>
    <row r="6" spans="1:10" x14ac:dyDescent="0.25">
      <c r="A6" s="23" t="s">
        <v>63</v>
      </c>
      <c r="B6" s="37" t="s">
        <v>40</v>
      </c>
      <c r="C6" s="18" t="s">
        <v>40</v>
      </c>
      <c r="D6" s="20"/>
      <c r="E6" s="20"/>
      <c r="F6" s="20"/>
      <c r="G6" s="61">
        <f t="shared" ref="G6:G34" si="0">H6+I6+J6</f>
        <v>3720261.94</v>
      </c>
      <c r="H6" s="65">
        <f>1043028+5.48+24.66+591147.8</f>
        <v>1634205.94</v>
      </c>
      <c r="I6" s="65">
        <v>1043028</v>
      </c>
      <c r="J6" s="65">
        <v>1043028</v>
      </c>
    </row>
    <row r="7" spans="1:10" ht="19.5" customHeight="1" x14ac:dyDescent="0.25">
      <c r="A7" s="23" t="s">
        <v>41</v>
      </c>
      <c r="B7" s="37" t="s">
        <v>40</v>
      </c>
      <c r="C7" s="18" t="s">
        <v>40</v>
      </c>
      <c r="D7" s="20"/>
      <c r="E7" s="20"/>
      <c r="F7" s="20"/>
      <c r="G7" s="61">
        <f t="shared" si="0"/>
        <v>3996625.9299999997</v>
      </c>
      <c r="H7" s="65">
        <f>H8+H12+H28+H30</f>
        <v>1910569.93</v>
      </c>
      <c r="I7" s="65">
        <f>I8+I12+I30</f>
        <v>1043028</v>
      </c>
      <c r="J7" s="65">
        <f>J8+J12+J30</f>
        <v>1043028</v>
      </c>
    </row>
    <row r="8" spans="1:10" s="19" customFormat="1" ht="29.25" x14ac:dyDescent="0.25">
      <c r="A8" s="41" t="s">
        <v>81</v>
      </c>
      <c r="B8" s="41">
        <v>110</v>
      </c>
      <c r="C8" s="41" t="s">
        <v>40</v>
      </c>
      <c r="D8" s="41"/>
      <c r="E8" s="41"/>
      <c r="F8" s="43"/>
      <c r="G8" s="63">
        <f t="shared" si="0"/>
        <v>67000</v>
      </c>
      <c r="H8" s="63">
        <f>SUM(H9:H11)</f>
        <v>32000</v>
      </c>
      <c r="I8" s="63">
        <f>SUM(I9:I11)</f>
        <v>17500</v>
      </c>
      <c r="J8" s="63">
        <f>SUM(J9:J11)</f>
        <v>17500</v>
      </c>
    </row>
    <row r="9" spans="1:10" x14ac:dyDescent="0.25">
      <c r="A9" s="22" t="s">
        <v>42</v>
      </c>
      <c r="B9" s="37">
        <v>111</v>
      </c>
      <c r="C9" s="18">
        <v>211</v>
      </c>
      <c r="D9" s="20"/>
      <c r="E9" s="20"/>
      <c r="F9" s="20"/>
      <c r="G9" s="62">
        <f t="shared" si="0"/>
        <v>0</v>
      </c>
      <c r="H9" s="64">
        <v>0</v>
      </c>
      <c r="I9" s="64">
        <v>0</v>
      </c>
      <c r="J9" s="64">
        <v>0</v>
      </c>
    </row>
    <row r="10" spans="1:10" x14ac:dyDescent="0.25">
      <c r="A10" s="22" t="s">
        <v>43</v>
      </c>
      <c r="B10" s="37">
        <v>112</v>
      </c>
      <c r="C10" s="18">
        <v>212</v>
      </c>
      <c r="D10" s="20"/>
      <c r="E10" s="20"/>
      <c r="F10" s="20"/>
      <c r="G10" s="62">
        <f t="shared" si="0"/>
        <v>67000</v>
      </c>
      <c r="H10" s="64">
        <f>17500+34500-20000</f>
        <v>32000</v>
      </c>
      <c r="I10" s="64">
        <v>17500</v>
      </c>
      <c r="J10" s="64">
        <v>17500</v>
      </c>
    </row>
    <row r="11" spans="1:10" ht="21.75" customHeight="1" x14ac:dyDescent="0.25">
      <c r="A11" s="22" t="s">
        <v>44</v>
      </c>
      <c r="B11" s="37">
        <v>119</v>
      </c>
      <c r="C11" s="18">
        <v>213</v>
      </c>
      <c r="D11" s="20"/>
      <c r="E11" s="20"/>
      <c r="F11" s="20"/>
      <c r="G11" s="62">
        <f t="shared" si="0"/>
        <v>0</v>
      </c>
      <c r="H11" s="64">
        <v>0</v>
      </c>
      <c r="I11" s="64">
        <v>0</v>
      </c>
      <c r="J11" s="64">
        <v>0</v>
      </c>
    </row>
    <row r="12" spans="1:10" s="19" customFormat="1" ht="57.75" x14ac:dyDescent="0.25">
      <c r="A12" s="41" t="s">
        <v>80</v>
      </c>
      <c r="B12" s="41">
        <v>244</v>
      </c>
      <c r="C12" s="41" t="s">
        <v>40</v>
      </c>
      <c r="D12" s="42"/>
      <c r="E12" s="42"/>
      <c r="F12" s="20"/>
      <c r="G12" s="63">
        <f t="shared" si="0"/>
        <v>3836757.0599999996</v>
      </c>
      <c r="H12" s="71">
        <f>H13+H20+H21</f>
        <v>1833701.0599999998</v>
      </c>
      <c r="I12" s="71">
        <f>I13+I20+I21</f>
        <v>1001528</v>
      </c>
      <c r="J12" s="71">
        <f>J13+J20+J21</f>
        <v>1001528</v>
      </c>
    </row>
    <row r="13" spans="1:10" x14ac:dyDescent="0.25">
      <c r="A13" s="23" t="s">
        <v>64</v>
      </c>
      <c r="B13" s="45">
        <v>244</v>
      </c>
      <c r="C13" s="45">
        <v>220</v>
      </c>
      <c r="D13" s="20"/>
      <c r="E13" s="20"/>
      <c r="F13" s="20"/>
      <c r="G13" s="61">
        <f t="shared" si="0"/>
        <v>2234824.2599999998</v>
      </c>
      <c r="H13" s="65">
        <f>SUM(H14:H19)</f>
        <v>1038224.2599999998</v>
      </c>
      <c r="I13" s="65">
        <f>SUM(I14:I19)</f>
        <v>598300</v>
      </c>
      <c r="J13" s="65">
        <f>SUM(J14:J19)</f>
        <v>598300</v>
      </c>
    </row>
    <row r="14" spans="1:10" x14ac:dyDescent="0.25">
      <c r="A14" s="22" t="s">
        <v>45</v>
      </c>
      <c r="B14" s="37">
        <v>244</v>
      </c>
      <c r="C14" s="18">
        <v>221</v>
      </c>
      <c r="D14" s="20"/>
      <c r="E14" s="20"/>
      <c r="F14" s="20"/>
      <c r="G14" s="62">
        <f t="shared" si="0"/>
        <v>22401.85</v>
      </c>
      <c r="H14" s="64">
        <f>7000+1349.79+24.66+27.4</f>
        <v>8401.85</v>
      </c>
      <c r="I14" s="64">
        <v>7000</v>
      </c>
      <c r="J14" s="64">
        <v>7000</v>
      </c>
    </row>
    <row r="15" spans="1:10" x14ac:dyDescent="0.25">
      <c r="A15" s="22" t="s">
        <v>46</v>
      </c>
      <c r="B15" s="37">
        <v>244</v>
      </c>
      <c r="C15" s="18">
        <v>222</v>
      </c>
      <c r="D15" s="20"/>
      <c r="E15" s="20"/>
      <c r="F15" s="20"/>
      <c r="G15" s="62">
        <f t="shared" si="0"/>
        <v>0</v>
      </c>
      <c r="H15" s="64">
        <v>0</v>
      </c>
      <c r="I15" s="64">
        <v>0</v>
      </c>
      <c r="J15" s="64">
        <v>0</v>
      </c>
    </row>
    <row r="16" spans="1:10" x14ac:dyDescent="0.25">
      <c r="A16" s="22" t="s">
        <v>47</v>
      </c>
      <c r="B16" s="37">
        <v>244</v>
      </c>
      <c r="C16" s="18">
        <v>223</v>
      </c>
      <c r="D16" s="20"/>
      <c r="E16" s="20"/>
      <c r="F16" s="20"/>
      <c r="G16" s="62">
        <f t="shared" si="0"/>
        <v>418235.58999999997</v>
      </c>
      <c r="H16" s="64">
        <f>71000+36309.46+168926.13</f>
        <v>276235.58999999997</v>
      </c>
      <c r="I16" s="64">
        <v>71000</v>
      </c>
      <c r="J16" s="64">
        <v>71000</v>
      </c>
    </row>
    <row r="17" spans="1:11" ht="23.25" customHeight="1" x14ac:dyDescent="0.25">
      <c r="A17" s="22" t="s">
        <v>48</v>
      </c>
      <c r="B17" s="37">
        <v>244</v>
      </c>
      <c r="C17" s="18">
        <v>224</v>
      </c>
      <c r="D17" s="20"/>
      <c r="E17" s="20"/>
      <c r="F17" s="20"/>
      <c r="G17" s="62">
        <f t="shared" si="0"/>
        <v>0</v>
      </c>
      <c r="H17" s="64">
        <v>0</v>
      </c>
      <c r="I17" s="64">
        <v>0</v>
      </c>
      <c r="J17" s="64">
        <v>0</v>
      </c>
    </row>
    <row r="18" spans="1:11" ht="22.5" customHeight="1" x14ac:dyDescent="0.25">
      <c r="A18" s="22" t="s">
        <v>49</v>
      </c>
      <c r="B18" s="37">
        <v>244</v>
      </c>
      <c r="C18" s="18">
        <v>225</v>
      </c>
      <c r="D18" s="20"/>
      <c r="E18" s="20"/>
      <c r="F18" s="20"/>
      <c r="G18" s="62">
        <f t="shared" si="0"/>
        <v>680301.07</v>
      </c>
      <c r="H18" s="64">
        <f>188800+56.11+13844.96+100000</f>
        <v>302701.06999999995</v>
      </c>
      <c r="I18" s="64">
        <v>188800</v>
      </c>
      <c r="J18" s="64">
        <v>188800</v>
      </c>
    </row>
    <row r="19" spans="1:11" x14ac:dyDescent="0.25">
      <c r="A19" s="22" t="s">
        <v>50</v>
      </c>
      <c r="B19" s="37">
        <v>244</v>
      </c>
      <c r="C19" s="18">
        <v>226</v>
      </c>
      <c r="D19" s="20"/>
      <c r="E19" s="20"/>
      <c r="F19" s="20"/>
      <c r="G19" s="62">
        <f t="shared" si="0"/>
        <v>1113885.75</v>
      </c>
      <c r="H19" s="64">
        <f>331500+19385.75+21.92+5.48-27.4+100000</f>
        <v>450885.74999999994</v>
      </c>
      <c r="I19" s="64">
        <v>331500</v>
      </c>
      <c r="J19" s="64">
        <v>331500</v>
      </c>
    </row>
    <row r="20" spans="1:11" s="19" customFormat="1" x14ac:dyDescent="0.25">
      <c r="A20" s="23" t="s">
        <v>51</v>
      </c>
      <c r="B20" s="37">
        <v>244</v>
      </c>
      <c r="C20" s="37">
        <v>290</v>
      </c>
      <c r="D20" s="37">
        <v>290</v>
      </c>
      <c r="E20" s="37"/>
      <c r="F20" s="37"/>
      <c r="G20" s="61">
        <f t="shared" si="0"/>
        <v>20000</v>
      </c>
      <c r="H20" s="61">
        <v>20000</v>
      </c>
      <c r="I20" s="61">
        <v>0</v>
      </c>
      <c r="J20" s="61">
        <v>0</v>
      </c>
      <c r="K20" s="35"/>
    </row>
    <row r="21" spans="1:11" ht="21.75" customHeight="1" x14ac:dyDescent="0.25">
      <c r="A21" s="23" t="s">
        <v>52</v>
      </c>
      <c r="B21" s="37">
        <v>244</v>
      </c>
      <c r="C21" s="18">
        <v>300</v>
      </c>
      <c r="D21" s="25"/>
      <c r="E21" s="25"/>
      <c r="F21" s="25"/>
      <c r="G21" s="61">
        <f t="shared" si="0"/>
        <v>1581932.8</v>
      </c>
      <c r="H21" s="65">
        <f>H22+H23</f>
        <v>775476.8</v>
      </c>
      <c r="I21" s="65">
        <f>I22+I23</f>
        <v>403228</v>
      </c>
      <c r="J21" s="65">
        <f>J22+J23</f>
        <v>403228</v>
      </c>
    </row>
    <row r="22" spans="1:11" ht="19.5" customHeight="1" x14ac:dyDescent="0.25">
      <c r="A22" s="22" t="s">
        <v>53</v>
      </c>
      <c r="B22" s="37">
        <v>244</v>
      </c>
      <c r="C22" s="18">
        <v>310</v>
      </c>
      <c r="D22" s="25"/>
      <c r="E22" s="25"/>
      <c r="F22" s="25"/>
      <c r="G22" s="62">
        <f t="shared" si="0"/>
        <v>877185</v>
      </c>
      <c r="H22" s="64">
        <f>215828+29701+200000</f>
        <v>445529</v>
      </c>
      <c r="I22" s="64">
        <v>215828</v>
      </c>
      <c r="J22" s="64">
        <v>215828</v>
      </c>
    </row>
    <row r="23" spans="1:11" ht="43.5" customHeight="1" x14ac:dyDescent="0.25">
      <c r="A23" s="22" t="s">
        <v>54</v>
      </c>
      <c r="B23" s="37">
        <v>244</v>
      </c>
      <c r="C23" s="18">
        <v>340</v>
      </c>
      <c r="D23" s="25"/>
      <c r="E23" s="25"/>
      <c r="F23" s="25"/>
      <c r="G23" s="62">
        <f t="shared" si="0"/>
        <v>704747.8</v>
      </c>
      <c r="H23" s="64">
        <f>SUM(H24:H27)</f>
        <v>329947.8</v>
      </c>
      <c r="I23" s="64">
        <f>SUM(I24:I27)</f>
        <v>187400</v>
      </c>
      <c r="J23" s="64">
        <f>SUM(J24:J27)</f>
        <v>187400</v>
      </c>
    </row>
    <row r="24" spans="1:11" ht="35.25" customHeight="1" x14ac:dyDescent="0.25">
      <c r="A24" s="22" t="s">
        <v>58</v>
      </c>
      <c r="B24" s="37">
        <v>244</v>
      </c>
      <c r="C24" s="18">
        <v>341</v>
      </c>
      <c r="D24" s="25"/>
      <c r="E24" s="25"/>
      <c r="F24" s="25"/>
      <c r="G24" s="62">
        <f t="shared" si="0"/>
        <v>15000</v>
      </c>
      <c r="H24" s="64">
        <v>5000</v>
      </c>
      <c r="I24" s="64">
        <v>5000</v>
      </c>
      <c r="J24" s="64">
        <v>5000</v>
      </c>
    </row>
    <row r="25" spans="1:11" x14ac:dyDescent="0.25">
      <c r="A25" s="22" t="s">
        <v>55</v>
      </c>
      <c r="B25" s="37">
        <v>244</v>
      </c>
      <c r="C25" s="18">
        <v>342</v>
      </c>
      <c r="D25" s="25"/>
      <c r="E25" s="25"/>
      <c r="F25" s="25"/>
      <c r="G25" s="62">
        <f t="shared" si="0"/>
        <v>44300</v>
      </c>
      <c r="H25" s="64">
        <f>14300+1400</f>
        <v>15700</v>
      </c>
      <c r="I25" s="64">
        <v>14300</v>
      </c>
      <c r="J25" s="64">
        <v>14300</v>
      </c>
    </row>
    <row r="26" spans="1:11" x14ac:dyDescent="0.25">
      <c r="A26" s="22" t="s">
        <v>56</v>
      </c>
      <c r="B26" s="37">
        <v>244</v>
      </c>
      <c r="C26" s="18">
        <v>343</v>
      </c>
      <c r="D26" s="25"/>
      <c r="E26" s="25"/>
      <c r="F26" s="25"/>
      <c r="G26" s="62">
        <f t="shared" si="0"/>
        <v>20200</v>
      </c>
      <c r="H26" s="64">
        <f>4100+7900</f>
        <v>12000</v>
      </c>
      <c r="I26" s="64">
        <v>4100</v>
      </c>
      <c r="J26" s="64">
        <v>4100</v>
      </c>
    </row>
    <row r="27" spans="1:11" ht="30" x14ac:dyDescent="0.25">
      <c r="A27" s="22" t="s">
        <v>57</v>
      </c>
      <c r="B27" s="37">
        <v>244</v>
      </c>
      <c r="C27" s="18">
        <v>344</v>
      </c>
      <c r="D27" s="25"/>
      <c r="E27" s="25"/>
      <c r="F27" s="25"/>
      <c r="G27" s="62">
        <f t="shared" si="0"/>
        <v>625247.80000000005</v>
      </c>
      <c r="H27" s="64">
        <f>164000+50000-7900+91147.8</f>
        <v>297247.8</v>
      </c>
      <c r="I27" s="64">
        <v>164000</v>
      </c>
      <c r="J27" s="64">
        <v>164000</v>
      </c>
    </row>
    <row r="28" spans="1:11" s="19" customFormat="1" x14ac:dyDescent="0.25">
      <c r="A28" s="68" t="s">
        <v>130</v>
      </c>
      <c r="B28" s="41">
        <v>350</v>
      </c>
      <c r="C28" s="41" t="s">
        <v>40</v>
      </c>
      <c r="D28" s="41"/>
      <c r="E28" s="41"/>
      <c r="F28" s="43"/>
      <c r="G28" s="63">
        <f>H28+I28+J28</f>
        <v>0</v>
      </c>
      <c r="H28" s="63">
        <f>H29</f>
        <v>0</v>
      </c>
      <c r="I28" s="63">
        <f>I29</f>
        <v>0</v>
      </c>
      <c r="J28" s="63">
        <f>J29</f>
        <v>0</v>
      </c>
    </row>
    <row r="29" spans="1:11" s="19" customFormat="1" x14ac:dyDescent="0.25">
      <c r="A29" s="23" t="s">
        <v>51</v>
      </c>
      <c r="B29" s="116">
        <v>350</v>
      </c>
      <c r="C29" s="116">
        <v>290</v>
      </c>
      <c r="D29" s="116">
        <v>290</v>
      </c>
      <c r="E29" s="116"/>
      <c r="F29" s="116"/>
      <c r="G29" s="61">
        <f t="shared" ref="G29" si="1">H29+I29+J29</f>
        <v>0</v>
      </c>
      <c r="H29" s="61">
        <f>5000-5000</f>
        <v>0</v>
      </c>
      <c r="I29" s="61">
        <v>0</v>
      </c>
      <c r="J29" s="61">
        <v>0</v>
      </c>
      <c r="K29" s="35"/>
    </row>
    <row r="30" spans="1:11" s="19" customFormat="1" ht="28.5" x14ac:dyDescent="0.25">
      <c r="A30" s="41" t="s">
        <v>82</v>
      </c>
      <c r="B30" s="41">
        <v>850</v>
      </c>
      <c r="C30" s="41" t="s">
        <v>40</v>
      </c>
      <c r="D30" s="41"/>
      <c r="E30" s="41"/>
      <c r="F30" s="43"/>
      <c r="G30" s="63">
        <f t="shared" si="0"/>
        <v>92868.87</v>
      </c>
      <c r="H30" s="63">
        <f>SUM(H31:H33)</f>
        <v>44868.87</v>
      </c>
      <c r="I30" s="63">
        <f>SUM(I31:I33)</f>
        <v>24000</v>
      </c>
      <c r="J30" s="63">
        <f>SUM(J31:J33)</f>
        <v>24000</v>
      </c>
    </row>
    <row r="31" spans="1:11" s="19" customFormat="1" ht="28.5" x14ac:dyDescent="0.25">
      <c r="A31" s="23" t="s">
        <v>79</v>
      </c>
      <c r="B31" s="157">
        <v>851</v>
      </c>
      <c r="C31" s="157">
        <v>290</v>
      </c>
      <c r="D31" s="157"/>
      <c r="E31" s="157"/>
      <c r="F31" s="157"/>
      <c r="G31" s="61">
        <f t="shared" si="0"/>
        <v>0</v>
      </c>
      <c r="H31" s="61">
        <f>23926.13-23926.13</f>
        <v>0</v>
      </c>
      <c r="I31" s="61">
        <v>0</v>
      </c>
      <c r="J31" s="61">
        <v>0</v>
      </c>
      <c r="K31" s="35"/>
    </row>
    <row r="32" spans="1:11" s="19" customFormat="1" x14ac:dyDescent="0.25">
      <c r="A32" s="23" t="s">
        <v>76</v>
      </c>
      <c r="B32" s="157">
        <v>852</v>
      </c>
      <c r="C32" s="157">
        <v>290</v>
      </c>
      <c r="D32" s="157"/>
      <c r="E32" s="157"/>
      <c r="F32" s="157"/>
      <c r="G32" s="61">
        <f t="shared" si="0"/>
        <v>62868.87</v>
      </c>
      <c r="H32" s="61">
        <f>24000+10868.87-20000</f>
        <v>14868.870000000003</v>
      </c>
      <c r="I32" s="61">
        <v>24000</v>
      </c>
      <c r="J32" s="61">
        <v>24000</v>
      </c>
      <c r="K32" s="35"/>
    </row>
    <row r="33" spans="1:11" s="19" customFormat="1" x14ac:dyDescent="0.25">
      <c r="A33" s="23" t="s">
        <v>77</v>
      </c>
      <c r="B33" s="40">
        <v>853</v>
      </c>
      <c r="C33" s="157">
        <v>290</v>
      </c>
      <c r="D33" s="157"/>
      <c r="E33" s="157"/>
      <c r="F33" s="157"/>
      <c r="G33" s="61">
        <f t="shared" si="0"/>
        <v>30000</v>
      </c>
      <c r="H33" s="61">
        <v>30000</v>
      </c>
      <c r="I33" s="61">
        <v>0</v>
      </c>
      <c r="J33" s="61">
        <v>0</v>
      </c>
      <c r="K33" s="35"/>
    </row>
    <row r="34" spans="1:11" ht="21" customHeight="1" x14ac:dyDescent="0.25">
      <c r="A34" s="22" t="s">
        <v>62</v>
      </c>
      <c r="B34" s="37" t="s">
        <v>40</v>
      </c>
      <c r="C34" s="18" t="s">
        <v>40</v>
      </c>
      <c r="D34" s="25"/>
      <c r="E34" s="25"/>
      <c r="F34" s="25"/>
      <c r="G34" s="62">
        <f t="shared" si="0"/>
        <v>0</v>
      </c>
      <c r="H34" s="64">
        <v>0</v>
      </c>
      <c r="I34" s="64">
        <v>0</v>
      </c>
      <c r="J34" s="64">
        <v>0</v>
      </c>
    </row>
    <row r="36" spans="1:11" x14ac:dyDescent="0.25">
      <c r="C36" s="28"/>
      <c r="D36" s="28"/>
      <c r="E36" s="28"/>
      <c r="F36" s="28"/>
      <c r="G36" s="28"/>
    </row>
  </sheetData>
  <mergeCells count="7">
    <mergeCell ref="H2:J2"/>
    <mergeCell ref="A1:J1"/>
    <mergeCell ref="A2:A3"/>
    <mergeCell ref="C2:C3"/>
    <mergeCell ref="D2:D3"/>
    <mergeCell ref="E2:G3"/>
    <mergeCell ref="B2:B3"/>
  </mergeCells>
  <phoneticPr fontId="12" type="noConversion"/>
  <pageMargins left="1.1811023622047245" right="0.39370078740157483" top="0" bottom="0" header="0.51181102362204722" footer="0.51181102362204722"/>
  <pageSetup paperSize="9" scale="65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4"/>
  <sheetViews>
    <sheetView workbookViewId="0">
      <selection activeCell="A4" sqref="A4:C4"/>
    </sheetView>
  </sheetViews>
  <sheetFormatPr defaultRowHeight="15" x14ac:dyDescent="0.25"/>
  <cols>
    <col min="1" max="1" width="58.5703125" customWidth="1"/>
    <col min="2" max="2" width="16.42578125" customWidth="1"/>
    <col min="3" max="3" width="36.5703125" customWidth="1"/>
  </cols>
  <sheetData>
    <row r="1" spans="1:3" ht="18.75" x14ac:dyDescent="0.25">
      <c r="A1" s="201" t="s">
        <v>245</v>
      </c>
      <c r="B1" s="201"/>
      <c r="C1" s="201"/>
    </row>
    <row r="2" spans="1:3" ht="18.75" x14ac:dyDescent="0.25">
      <c r="A2" s="201" t="s">
        <v>246</v>
      </c>
      <c r="B2" s="201"/>
      <c r="C2" s="201"/>
    </row>
    <row r="3" spans="1:3" ht="18.75" x14ac:dyDescent="0.25">
      <c r="A3" s="201" t="s">
        <v>268</v>
      </c>
      <c r="B3" s="201"/>
      <c r="C3" s="201"/>
    </row>
    <row r="4" spans="1:3" ht="15.75" x14ac:dyDescent="0.25">
      <c r="A4" s="203" t="s">
        <v>247</v>
      </c>
      <c r="B4" s="203"/>
      <c r="C4" s="203"/>
    </row>
    <row r="5" spans="1:3" ht="19.5" thickBot="1" x14ac:dyDescent="0.3">
      <c r="A5" s="129"/>
    </row>
    <row r="6" spans="1:3" ht="15.75" x14ac:dyDescent="0.25">
      <c r="A6" s="218" t="s">
        <v>37</v>
      </c>
      <c r="B6" s="218" t="s">
        <v>84</v>
      </c>
      <c r="C6" s="130" t="s">
        <v>248</v>
      </c>
    </row>
    <row r="7" spans="1:3" ht="32.25" thickBot="1" x14ac:dyDescent="0.3">
      <c r="A7" s="220"/>
      <c r="B7" s="220"/>
      <c r="C7" s="131" t="s">
        <v>249</v>
      </c>
    </row>
    <row r="8" spans="1:3" ht="15.75" thickBot="1" x14ac:dyDescent="0.3">
      <c r="A8" s="132">
        <v>1</v>
      </c>
      <c r="B8" s="133">
        <v>2</v>
      </c>
      <c r="C8" s="133">
        <v>3</v>
      </c>
    </row>
    <row r="9" spans="1:3" ht="16.5" thickBot="1" x14ac:dyDescent="0.3">
      <c r="A9" s="128" t="s">
        <v>250</v>
      </c>
      <c r="B9" s="131">
        <v>10</v>
      </c>
      <c r="C9" s="135">
        <v>0</v>
      </c>
    </row>
    <row r="10" spans="1:3" ht="16.5" thickBot="1" x14ac:dyDescent="0.3">
      <c r="A10" s="128" t="s">
        <v>251</v>
      </c>
      <c r="B10" s="131">
        <v>20</v>
      </c>
      <c r="C10" s="135">
        <v>0</v>
      </c>
    </row>
    <row r="11" spans="1:3" ht="16.5" thickBot="1" x14ac:dyDescent="0.3">
      <c r="A11" s="128" t="s">
        <v>252</v>
      </c>
      <c r="B11" s="131">
        <v>30</v>
      </c>
      <c r="C11" s="135">
        <v>0</v>
      </c>
    </row>
    <row r="12" spans="1:3" ht="16.5" thickBot="1" x14ac:dyDescent="0.3">
      <c r="A12" s="128"/>
      <c r="B12" s="120"/>
      <c r="C12" s="135"/>
    </row>
    <row r="13" spans="1:3" ht="16.5" thickBot="1" x14ac:dyDescent="0.3">
      <c r="A13" s="128" t="s">
        <v>253</v>
      </c>
      <c r="B13" s="131">
        <v>40</v>
      </c>
      <c r="C13" s="135">
        <v>0</v>
      </c>
    </row>
    <row r="14" spans="1:3" ht="16.5" thickBot="1" x14ac:dyDescent="0.3">
      <c r="A14" s="128"/>
      <c r="B14" s="120"/>
      <c r="C14" s="135"/>
    </row>
  </sheetData>
  <mergeCells count="6">
    <mergeCell ref="A1:C1"/>
    <mergeCell ref="A2:C2"/>
    <mergeCell ref="A3:C3"/>
    <mergeCell ref="A4:C4"/>
    <mergeCell ref="A6:A7"/>
    <mergeCell ref="B6:B7"/>
  </mergeCells>
  <pageMargins left="0.7" right="0.7" top="0.75" bottom="0.75" header="0.3" footer="0.3"/>
  <pageSetup paperSize="9" scale="78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0"/>
  <sheetViews>
    <sheetView workbookViewId="0">
      <selection activeCell="A26" sqref="A26"/>
    </sheetView>
  </sheetViews>
  <sheetFormatPr defaultRowHeight="15" x14ac:dyDescent="0.25"/>
  <cols>
    <col min="1" max="1" width="55" customWidth="1"/>
    <col min="2" max="2" width="12.85546875" customWidth="1"/>
    <col min="3" max="3" width="26.5703125" customWidth="1"/>
    <col min="4" max="5" width="27.5703125" customWidth="1"/>
  </cols>
  <sheetData>
    <row r="1" spans="1:5" ht="18.75" x14ac:dyDescent="0.25">
      <c r="A1" s="201" t="s">
        <v>254</v>
      </c>
      <c r="B1" s="201"/>
      <c r="C1" s="201"/>
      <c r="D1" s="201"/>
      <c r="E1" s="201"/>
    </row>
    <row r="2" spans="1:5" ht="19.5" thickBot="1" x14ac:dyDescent="0.3">
      <c r="A2" s="129"/>
    </row>
    <row r="3" spans="1:5" ht="16.5" thickBot="1" x14ac:dyDescent="0.3">
      <c r="A3" s="218" t="s">
        <v>37</v>
      </c>
      <c r="B3" s="218" t="s">
        <v>84</v>
      </c>
      <c r="C3" s="254" t="s">
        <v>255</v>
      </c>
      <c r="D3" s="255"/>
      <c r="E3" s="256"/>
    </row>
    <row r="4" spans="1:5" ht="16.5" thickBot="1" x14ac:dyDescent="0.3">
      <c r="A4" s="220"/>
      <c r="B4" s="220"/>
      <c r="C4" s="131" t="s">
        <v>256</v>
      </c>
      <c r="D4" s="131" t="s">
        <v>257</v>
      </c>
      <c r="E4" s="131" t="s">
        <v>258</v>
      </c>
    </row>
    <row r="5" spans="1:5" ht="15.75" thickBot="1" x14ac:dyDescent="0.3">
      <c r="A5" s="132">
        <v>1</v>
      </c>
      <c r="B5" s="133">
        <v>2</v>
      </c>
      <c r="C5" s="133">
        <v>3</v>
      </c>
      <c r="D5" s="133">
        <v>4</v>
      </c>
      <c r="E5" s="133">
        <v>5</v>
      </c>
    </row>
    <row r="6" spans="1:5" ht="16.5" thickBot="1" x14ac:dyDescent="0.3">
      <c r="A6" s="128" t="s">
        <v>259</v>
      </c>
      <c r="B6" s="131">
        <v>10</v>
      </c>
      <c r="C6" s="135">
        <v>0</v>
      </c>
      <c r="D6" s="135">
        <v>0</v>
      </c>
      <c r="E6" s="135">
        <v>0</v>
      </c>
    </row>
    <row r="7" spans="1:5" ht="75" customHeight="1" thickBot="1" x14ac:dyDescent="0.3">
      <c r="A7" s="128" t="s">
        <v>260</v>
      </c>
      <c r="B7" s="131">
        <v>20</v>
      </c>
      <c r="C7" s="135">
        <v>0</v>
      </c>
      <c r="D7" s="135">
        <v>0</v>
      </c>
      <c r="E7" s="135">
        <v>0</v>
      </c>
    </row>
    <row r="8" spans="1:5" ht="32.25" thickBot="1" x14ac:dyDescent="0.3">
      <c r="A8" s="128" t="s">
        <v>261</v>
      </c>
      <c r="B8" s="131">
        <v>30</v>
      </c>
      <c r="C8" s="135">
        <v>0</v>
      </c>
      <c r="D8" s="135">
        <v>0</v>
      </c>
      <c r="E8" s="135">
        <v>0</v>
      </c>
    </row>
    <row r="9" spans="1:5" ht="18.75" x14ac:dyDescent="0.25">
      <c r="A9" s="129"/>
    </row>
    <row r="10" spans="1:5" ht="18.75" x14ac:dyDescent="0.25">
      <c r="A10" s="129"/>
    </row>
    <row r="11" spans="1:5" x14ac:dyDescent="0.25">
      <c r="A11" s="253" t="s">
        <v>354</v>
      </c>
      <c r="B11" s="253"/>
      <c r="C11" s="253"/>
      <c r="D11" s="253"/>
      <c r="E11" s="253"/>
    </row>
    <row r="12" spans="1:5" x14ac:dyDescent="0.25">
      <c r="A12" s="134" t="s">
        <v>262</v>
      </c>
      <c r="B12" s="134"/>
      <c r="C12" s="134"/>
    </row>
    <row r="13" spans="1:5" x14ac:dyDescent="0.25">
      <c r="A13" s="48" t="s">
        <v>263</v>
      </c>
    </row>
    <row r="14" spans="1:5" x14ac:dyDescent="0.25">
      <c r="A14" s="134" t="s">
        <v>361</v>
      </c>
      <c r="B14" s="134"/>
    </row>
    <row r="15" spans="1:5" x14ac:dyDescent="0.25">
      <c r="A15" s="134" t="s">
        <v>264</v>
      </c>
      <c r="B15" s="134"/>
    </row>
    <row r="16" spans="1:5" x14ac:dyDescent="0.25">
      <c r="A16" s="48"/>
    </row>
    <row r="17" spans="1:3" x14ac:dyDescent="0.25">
      <c r="A17" s="257" t="s">
        <v>362</v>
      </c>
      <c r="B17" s="257"/>
      <c r="C17" s="257"/>
    </row>
    <row r="18" spans="1:3" x14ac:dyDescent="0.25">
      <c r="A18" s="253" t="s">
        <v>269</v>
      </c>
      <c r="B18" s="253"/>
      <c r="C18" s="253"/>
    </row>
    <row r="19" spans="1:3" x14ac:dyDescent="0.25">
      <c r="A19" s="48" t="s">
        <v>265</v>
      </c>
    </row>
    <row r="20" spans="1:3" x14ac:dyDescent="0.25">
      <c r="A20" s="134" t="s">
        <v>270</v>
      </c>
    </row>
  </sheetData>
  <mergeCells count="7">
    <mergeCell ref="A18:C18"/>
    <mergeCell ref="A1:E1"/>
    <mergeCell ref="A3:A4"/>
    <mergeCell ref="B3:B4"/>
    <mergeCell ref="C3:E3"/>
    <mergeCell ref="A11:E11"/>
    <mergeCell ref="A17:C17"/>
  </mergeCells>
  <pageMargins left="0.7" right="0.7" top="0.75" bottom="0.75" header="0.3" footer="0.3"/>
  <pageSetup paperSize="9" scale="5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view="pageBreakPreview" topLeftCell="A25" zoomScaleNormal="100" zoomScaleSheetLayoutView="100" workbookViewId="0">
      <selection activeCell="C37" sqref="C37"/>
    </sheetView>
  </sheetViews>
  <sheetFormatPr defaultRowHeight="15.75" x14ac:dyDescent="0.25"/>
  <cols>
    <col min="1" max="1" width="5.7109375" style="14" customWidth="1"/>
    <col min="2" max="2" width="61.7109375" style="13" customWidth="1"/>
    <col min="3" max="3" width="21.7109375" style="13" customWidth="1"/>
    <col min="4" max="16384" width="9.140625" style="13"/>
  </cols>
  <sheetData>
    <row r="1" spans="1:3" ht="47.25" customHeight="1" x14ac:dyDescent="0.25">
      <c r="A1" s="194" t="s">
        <v>70</v>
      </c>
      <c r="B1" s="194"/>
      <c r="C1" s="194"/>
    </row>
    <row r="2" spans="1:3" ht="17.25" customHeight="1" x14ac:dyDescent="0.25">
      <c r="A2" s="195" t="s">
        <v>31</v>
      </c>
      <c r="B2" s="196"/>
      <c r="C2" s="196"/>
    </row>
    <row r="3" spans="1:3" x14ac:dyDescent="0.25">
      <c r="A3" s="197" t="s">
        <v>336</v>
      </c>
      <c r="B3" s="197"/>
      <c r="C3" s="197"/>
    </row>
    <row r="4" spans="1:3" ht="14.25" customHeight="1" x14ac:dyDescent="0.25">
      <c r="A4" s="197"/>
      <c r="B4" s="197"/>
      <c r="C4" s="197"/>
    </row>
    <row r="5" spans="1:3" x14ac:dyDescent="0.25">
      <c r="A5" s="197" t="s">
        <v>337</v>
      </c>
      <c r="B5" s="197"/>
      <c r="C5" s="197"/>
    </row>
    <row r="6" spans="1:3" ht="15.75" customHeight="1" x14ac:dyDescent="0.25">
      <c r="A6" s="197"/>
      <c r="B6" s="197"/>
      <c r="C6" s="197"/>
    </row>
    <row r="7" spans="1:3" x14ac:dyDescent="0.25">
      <c r="A7" s="197" t="s">
        <v>339</v>
      </c>
      <c r="B7" s="197"/>
      <c r="C7" s="197"/>
    </row>
    <row r="8" spans="1:3" ht="15" customHeight="1" x14ac:dyDescent="0.25">
      <c r="A8" s="197"/>
      <c r="B8" s="197"/>
      <c r="C8" s="197"/>
    </row>
    <row r="9" spans="1:3" x14ac:dyDescent="0.25">
      <c r="A9" s="197" t="s">
        <v>338</v>
      </c>
      <c r="B9" s="197"/>
      <c r="C9" s="197"/>
    </row>
    <row r="10" spans="1:3" x14ac:dyDescent="0.25">
      <c r="C10" s="58"/>
    </row>
    <row r="11" spans="1:3" ht="33" customHeight="1" x14ac:dyDescent="0.25">
      <c r="A11" s="195" t="s">
        <v>71</v>
      </c>
      <c r="B11" s="196"/>
      <c r="C11" s="196"/>
    </row>
    <row r="12" spans="1:3" ht="33.75" customHeight="1" x14ac:dyDescent="0.25">
      <c r="A12" s="198" t="s">
        <v>105</v>
      </c>
      <c r="B12" s="198"/>
      <c r="C12" s="198"/>
    </row>
    <row r="13" spans="1:3" ht="33.75" customHeight="1" x14ac:dyDescent="0.25">
      <c r="A13" s="198" t="s">
        <v>106</v>
      </c>
      <c r="B13" s="198"/>
      <c r="C13" s="198"/>
    </row>
    <row r="14" spans="1:3" ht="33.75" customHeight="1" x14ac:dyDescent="0.25">
      <c r="A14" s="198" t="s">
        <v>107</v>
      </c>
      <c r="B14" s="198"/>
      <c r="C14" s="198"/>
    </row>
    <row r="15" spans="1:3" ht="30.75" customHeight="1" x14ac:dyDescent="0.25">
      <c r="A15" s="198" t="s">
        <v>108</v>
      </c>
      <c r="B15" s="198"/>
      <c r="C15" s="198"/>
    </row>
    <row r="16" spans="1:3" ht="31.5" customHeight="1" x14ac:dyDescent="0.25">
      <c r="A16" s="197" t="s">
        <v>109</v>
      </c>
      <c r="B16" s="197"/>
      <c r="C16" s="197"/>
    </row>
    <row r="17" spans="1:3" ht="35.25" customHeight="1" x14ac:dyDescent="0.25">
      <c r="A17" s="197" t="s">
        <v>110</v>
      </c>
      <c r="B17" s="197"/>
      <c r="C17" s="197"/>
    </row>
    <row r="18" spans="1:3" ht="33.75" customHeight="1" x14ac:dyDescent="0.25">
      <c r="A18" s="197" t="s">
        <v>111</v>
      </c>
      <c r="B18" s="197"/>
      <c r="C18" s="197"/>
    </row>
    <row r="19" spans="1:3" ht="15" customHeight="1" x14ac:dyDescent="0.25">
      <c r="A19" s="198" t="s">
        <v>112</v>
      </c>
      <c r="B19" s="198"/>
      <c r="C19" s="198"/>
    </row>
    <row r="20" spans="1:3" ht="32.25" customHeight="1" x14ac:dyDescent="0.25">
      <c r="A20" s="198" t="s">
        <v>113</v>
      </c>
      <c r="B20" s="198"/>
      <c r="C20" s="198"/>
    </row>
    <row r="21" spans="1:3" ht="36" customHeight="1" x14ac:dyDescent="0.25">
      <c r="A21" s="195" t="s">
        <v>114</v>
      </c>
      <c r="B21" s="196"/>
      <c r="C21" s="196"/>
    </row>
    <row r="22" spans="1:3" ht="33" customHeight="1" x14ac:dyDescent="0.25">
      <c r="A22" s="197" t="s">
        <v>115</v>
      </c>
      <c r="B22" s="197"/>
      <c r="C22" s="197"/>
    </row>
    <row r="23" spans="1:3" ht="47.25" customHeight="1" x14ac:dyDescent="0.25">
      <c r="A23" s="197" t="s">
        <v>116</v>
      </c>
      <c r="B23" s="197"/>
      <c r="C23" s="197"/>
    </row>
    <row r="24" spans="1:3" ht="48.75" customHeight="1" x14ac:dyDescent="0.25">
      <c r="A24" s="197" t="s">
        <v>117</v>
      </c>
      <c r="B24" s="197"/>
      <c r="C24" s="197"/>
    </row>
    <row r="25" spans="1:3" ht="33.75" customHeight="1" x14ac:dyDescent="0.25">
      <c r="A25" s="197" t="s">
        <v>118</v>
      </c>
      <c r="B25" s="197"/>
      <c r="C25" s="197"/>
    </row>
    <row r="26" spans="1:3" x14ac:dyDescent="0.25">
      <c r="A26" s="195" t="s">
        <v>32</v>
      </c>
      <c r="B26" s="196"/>
      <c r="C26" s="196"/>
    </row>
    <row r="27" spans="1:3" ht="31.5" x14ac:dyDescent="0.25">
      <c r="A27" s="16" t="s">
        <v>19</v>
      </c>
      <c r="B27" s="16" t="s">
        <v>20</v>
      </c>
      <c r="C27" s="16" t="s">
        <v>21</v>
      </c>
    </row>
    <row r="28" spans="1:3" ht="31.5" x14ac:dyDescent="0.25">
      <c r="A28" s="16">
        <v>1</v>
      </c>
      <c r="B28" s="15" t="s">
        <v>22</v>
      </c>
      <c r="C28" s="59">
        <v>35542027.840000004</v>
      </c>
    </row>
    <row r="29" spans="1:3" ht="78.75" x14ac:dyDescent="0.25">
      <c r="A29" s="17" t="s">
        <v>23</v>
      </c>
      <c r="B29" s="15" t="s">
        <v>135</v>
      </c>
      <c r="C29" s="59">
        <v>35542027.840000004</v>
      </c>
    </row>
    <row r="30" spans="1:3" ht="47.25" x14ac:dyDescent="0.25">
      <c r="A30" s="17" t="s">
        <v>24</v>
      </c>
      <c r="B30" s="15" t="s">
        <v>25</v>
      </c>
      <c r="C30" s="148">
        <v>52537260.380000003</v>
      </c>
    </row>
    <row r="31" spans="1:3" ht="47.25" x14ac:dyDescent="0.25">
      <c r="A31" s="17" t="s">
        <v>26</v>
      </c>
      <c r="B31" s="15" t="s">
        <v>27</v>
      </c>
      <c r="C31" s="148">
        <v>2768851.4</v>
      </c>
    </row>
    <row r="32" spans="1:3" ht="47.25" x14ac:dyDescent="0.25">
      <c r="A32" s="17" t="s">
        <v>28</v>
      </c>
      <c r="B32" s="15" t="s">
        <v>29</v>
      </c>
      <c r="C32" s="60">
        <v>1</v>
      </c>
    </row>
    <row r="33" spans="1:3" ht="63" x14ac:dyDescent="0.25">
      <c r="A33" s="17" t="s">
        <v>30</v>
      </c>
      <c r="B33" s="15" t="s">
        <v>134</v>
      </c>
      <c r="C33" s="153">
        <v>3408.7</v>
      </c>
    </row>
    <row r="35" spans="1:3" x14ac:dyDescent="0.25">
      <c r="A35" s="195" t="s">
        <v>33</v>
      </c>
      <c r="B35" s="196"/>
      <c r="C35" s="196"/>
    </row>
    <row r="36" spans="1:3" ht="31.5" x14ac:dyDescent="0.25">
      <c r="A36" s="16" t="s">
        <v>19</v>
      </c>
      <c r="B36" s="16" t="s">
        <v>20</v>
      </c>
      <c r="C36" s="16" t="s">
        <v>21</v>
      </c>
    </row>
    <row r="37" spans="1:3" ht="31.5" x14ac:dyDescent="0.25">
      <c r="A37" s="16">
        <v>1</v>
      </c>
      <c r="B37" s="15" t="s">
        <v>34</v>
      </c>
      <c r="C37" s="149">
        <v>19764083.940000001</v>
      </c>
    </row>
    <row r="38" spans="1:3" ht="31.5" x14ac:dyDescent="0.25">
      <c r="A38" s="17" t="s">
        <v>35</v>
      </c>
      <c r="B38" s="15" t="s">
        <v>36</v>
      </c>
      <c r="C38" s="149">
        <v>15548898.949999999</v>
      </c>
    </row>
    <row r="39" spans="1:3" x14ac:dyDescent="0.25">
      <c r="C39" s="58"/>
    </row>
  </sheetData>
  <mergeCells count="23">
    <mergeCell ref="A26:C26"/>
    <mergeCell ref="A35:C35"/>
    <mergeCell ref="A13:C13"/>
    <mergeCell ref="A14:C14"/>
    <mergeCell ref="A15:C15"/>
    <mergeCell ref="A16:C16"/>
    <mergeCell ref="A17:C17"/>
    <mergeCell ref="A23:C23"/>
    <mergeCell ref="A24:C24"/>
    <mergeCell ref="A25:C25"/>
    <mergeCell ref="A18:C18"/>
    <mergeCell ref="A19:C19"/>
    <mergeCell ref="A20:C20"/>
    <mergeCell ref="A21:C21"/>
    <mergeCell ref="A22:C22"/>
    <mergeCell ref="A1:C1"/>
    <mergeCell ref="A2:C2"/>
    <mergeCell ref="A3:C4"/>
    <mergeCell ref="A11:C11"/>
    <mergeCell ref="A12:C12"/>
    <mergeCell ref="A5:C6"/>
    <mergeCell ref="A7:C8"/>
    <mergeCell ref="A9:C9"/>
  </mergeCells>
  <phoneticPr fontId="12" type="noConversion"/>
  <pageMargins left="0.78740157480314965" right="0.19685039370078741" top="0.59055118110236227" bottom="0.59055118110236227" header="0.51181102362204722" footer="0.51181102362204722"/>
  <pageSetup paperSize="9" scale="9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"/>
  <sheetViews>
    <sheetView workbookViewId="0">
      <selection activeCell="B14" sqref="B14"/>
    </sheetView>
  </sheetViews>
  <sheetFormatPr defaultRowHeight="15" x14ac:dyDescent="0.25"/>
  <cols>
    <col min="1" max="1" width="52.85546875" customWidth="1"/>
    <col min="2" max="2" width="29.140625" customWidth="1"/>
  </cols>
  <sheetData>
    <row r="1" spans="1:2" ht="18.75" x14ac:dyDescent="0.25">
      <c r="A1" s="201" t="s">
        <v>228</v>
      </c>
      <c r="B1" s="201"/>
    </row>
    <row r="2" spans="1:2" ht="18.75" x14ac:dyDescent="0.25">
      <c r="A2" s="202" t="s">
        <v>359</v>
      </c>
      <c r="B2" s="202"/>
    </row>
    <row r="3" spans="1:2" ht="15.75" x14ac:dyDescent="0.25">
      <c r="A3" s="203" t="s">
        <v>271</v>
      </c>
      <c r="B3" s="203"/>
    </row>
    <row r="4" spans="1:2" ht="15.75" thickBot="1" x14ac:dyDescent="0.3">
      <c r="A4" s="117"/>
    </row>
    <row r="5" spans="1:2" ht="16.5" thickBot="1" x14ac:dyDescent="0.3">
      <c r="A5" s="118" t="s">
        <v>37</v>
      </c>
      <c r="B5" s="177" t="s">
        <v>229</v>
      </c>
    </row>
    <row r="6" spans="1:2" ht="16.5" thickBot="1" x14ac:dyDescent="0.3">
      <c r="A6" s="119" t="s">
        <v>230</v>
      </c>
      <c r="B6" s="150">
        <v>55306.111779999999</v>
      </c>
    </row>
    <row r="7" spans="1:2" ht="15.75" x14ac:dyDescent="0.25">
      <c r="A7" s="121" t="s">
        <v>97</v>
      </c>
      <c r="B7" s="199">
        <v>35542.027840000002</v>
      </c>
    </row>
    <row r="8" spans="1:2" ht="16.5" thickBot="1" x14ac:dyDescent="0.3">
      <c r="A8" s="122" t="s">
        <v>231</v>
      </c>
      <c r="B8" s="200"/>
    </row>
    <row r="9" spans="1:2" ht="15.75" x14ac:dyDescent="0.25">
      <c r="A9" s="123" t="s">
        <v>38</v>
      </c>
      <c r="B9" s="199">
        <v>15530.806070000001</v>
      </c>
    </row>
    <row r="10" spans="1:2" ht="16.5" thickBot="1" x14ac:dyDescent="0.3">
      <c r="A10" s="124" t="s">
        <v>232</v>
      </c>
      <c r="B10" s="200"/>
    </row>
    <row r="11" spans="1:2" ht="16.5" thickBot="1" x14ac:dyDescent="0.3">
      <c r="A11" s="125" t="s">
        <v>233</v>
      </c>
      <c r="B11" s="150">
        <v>15548.898950000001</v>
      </c>
    </row>
    <row r="12" spans="1:2" ht="15.75" x14ac:dyDescent="0.25">
      <c r="A12" s="123" t="s">
        <v>38</v>
      </c>
      <c r="B12" s="199">
        <v>1624.81708</v>
      </c>
    </row>
    <row r="13" spans="1:2" ht="16.5" thickBot="1" x14ac:dyDescent="0.3">
      <c r="A13" s="124" t="s">
        <v>232</v>
      </c>
      <c r="B13" s="200"/>
    </row>
    <row r="14" spans="1:2" ht="16.5" thickBot="1" x14ac:dyDescent="0.3">
      <c r="A14" s="119" t="s">
        <v>234</v>
      </c>
      <c r="B14" s="150">
        <f>B15+B21+B22+B23</f>
        <v>3974.9744900000001</v>
      </c>
    </row>
    <row r="15" spans="1:2" ht="15.75" x14ac:dyDescent="0.25">
      <c r="A15" s="121" t="s">
        <v>97</v>
      </c>
      <c r="B15" s="199">
        <v>3103.1236100000001</v>
      </c>
    </row>
    <row r="16" spans="1:2" ht="16.5" thickBot="1" x14ac:dyDescent="0.3">
      <c r="A16" s="122" t="s">
        <v>235</v>
      </c>
      <c r="B16" s="200"/>
    </row>
    <row r="17" spans="1:2" ht="15.75" x14ac:dyDescent="0.25">
      <c r="A17" s="126" t="s">
        <v>38</v>
      </c>
      <c r="B17" s="199">
        <v>3103.1236100000001</v>
      </c>
    </row>
    <row r="18" spans="1:2" ht="16.5" thickBot="1" x14ac:dyDescent="0.3">
      <c r="A18" s="127" t="s">
        <v>236</v>
      </c>
      <c r="B18" s="200"/>
    </row>
    <row r="19" spans="1:2" ht="16.5" thickBot="1" x14ac:dyDescent="0.3">
      <c r="A19" s="128"/>
      <c r="B19" s="178"/>
    </row>
    <row r="20" spans="1:2" ht="48" thickBot="1" x14ac:dyDescent="0.3">
      <c r="A20" s="127" t="s">
        <v>237</v>
      </c>
      <c r="B20" s="150">
        <v>0</v>
      </c>
    </row>
    <row r="21" spans="1:2" ht="16.5" thickBot="1" x14ac:dyDescent="0.3">
      <c r="A21" s="122" t="s">
        <v>238</v>
      </c>
      <c r="B21" s="150">
        <v>0</v>
      </c>
    </row>
    <row r="22" spans="1:2" ht="16.5" thickBot="1" x14ac:dyDescent="0.3">
      <c r="A22" s="122" t="s">
        <v>239</v>
      </c>
      <c r="B22" s="150">
        <v>50.626190000000001</v>
      </c>
    </row>
    <row r="23" spans="1:2" ht="16.5" thickBot="1" x14ac:dyDescent="0.3">
      <c r="A23" s="122" t="s">
        <v>240</v>
      </c>
      <c r="B23" s="150">
        <v>821.22469000000001</v>
      </c>
    </row>
    <row r="24" spans="1:2" ht="16.5" thickBot="1" x14ac:dyDescent="0.3">
      <c r="A24" s="119" t="s">
        <v>241</v>
      </c>
      <c r="B24" s="150">
        <f>B25+B27</f>
        <v>2788.43361</v>
      </c>
    </row>
    <row r="25" spans="1:2" ht="15.75" x14ac:dyDescent="0.25">
      <c r="A25" s="121" t="s">
        <v>97</v>
      </c>
      <c r="B25" s="199">
        <v>0</v>
      </c>
    </row>
    <row r="26" spans="1:2" ht="16.5" thickBot="1" x14ac:dyDescent="0.3">
      <c r="A26" s="122" t="s">
        <v>242</v>
      </c>
      <c r="B26" s="200"/>
    </row>
    <row r="27" spans="1:2" ht="16.5" thickBot="1" x14ac:dyDescent="0.3">
      <c r="A27" s="122" t="s">
        <v>243</v>
      </c>
      <c r="B27" s="150">
        <v>2788.43361</v>
      </c>
    </row>
    <row r="28" spans="1:2" ht="15.75" x14ac:dyDescent="0.25">
      <c r="A28" s="123" t="s">
        <v>38</v>
      </c>
      <c r="B28" s="199">
        <v>0</v>
      </c>
    </row>
    <row r="29" spans="1:2" ht="16.5" thickBot="1" x14ac:dyDescent="0.3">
      <c r="A29" s="124" t="s">
        <v>244</v>
      </c>
      <c r="B29" s="200"/>
    </row>
  </sheetData>
  <mergeCells count="10">
    <mergeCell ref="B15:B16"/>
    <mergeCell ref="B17:B18"/>
    <mergeCell ref="B25:B26"/>
    <mergeCell ref="B28:B29"/>
    <mergeCell ref="A1:B1"/>
    <mergeCell ref="A2:B2"/>
    <mergeCell ref="A3:B3"/>
    <mergeCell ref="B7:B8"/>
    <mergeCell ref="B9:B10"/>
    <mergeCell ref="B12:B1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5"/>
  <sheetViews>
    <sheetView zoomScaleNormal="100" workbookViewId="0">
      <selection activeCell="F70" sqref="F70"/>
    </sheetView>
  </sheetViews>
  <sheetFormatPr defaultRowHeight="15" x14ac:dyDescent="0.25"/>
  <cols>
    <col min="1" max="1" width="65.28515625" style="19" customWidth="1"/>
    <col min="2" max="2" width="17.7109375" style="19" customWidth="1"/>
    <col min="3" max="3" width="15.5703125" style="21" customWidth="1"/>
    <col min="4" max="4" width="27" style="19" customWidth="1"/>
    <col min="5" max="5" width="25.85546875" style="19" customWidth="1"/>
    <col min="6" max="6" width="26.7109375" style="19" customWidth="1"/>
    <col min="7" max="7" width="27" style="19" customWidth="1"/>
    <col min="8" max="8" width="10.7109375" style="19" customWidth="1"/>
    <col min="9" max="9" width="0" style="19" hidden="1" customWidth="1"/>
    <col min="10" max="10" width="14.140625" style="19" customWidth="1"/>
    <col min="11" max="11" width="13.85546875" style="19" customWidth="1"/>
    <col min="12" max="12" width="9.140625" style="19"/>
    <col min="13" max="13" width="14" style="19" customWidth="1"/>
    <col min="14" max="14" width="14.140625" style="19" customWidth="1"/>
    <col min="15" max="15" width="9.140625" style="19"/>
    <col min="16" max="16" width="14" style="19" customWidth="1"/>
    <col min="17" max="17" width="13.85546875" style="19" customWidth="1"/>
    <col min="18" max="16384" width="9.140625" style="19"/>
  </cols>
  <sheetData>
    <row r="1" spans="1:7" ht="18.75" x14ac:dyDescent="0.25">
      <c r="A1" s="201" t="s">
        <v>272</v>
      </c>
      <c r="B1" s="201"/>
      <c r="C1" s="201"/>
      <c r="D1" s="201"/>
      <c r="E1" s="201"/>
      <c r="F1" s="201"/>
      <c r="G1" s="201"/>
    </row>
    <row r="2" spans="1:7" ht="18.75" x14ac:dyDescent="0.25">
      <c r="A2" s="201" t="s">
        <v>273</v>
      </c>
      <c r="B2" s="201"/>
      <c r="C2" s="201"/>
      <c r="D2" s="201"/>
      <c r="E2" s="201"/>
      <c r="F2" s="201"/>
      <c r="G2" s="201"/>
    </row>
    <row r="3" spans="1:7" ht="15.75" thickBot="1" x14ac:dyDescent="0.3">
      <c r="A3" s="117"/>
      <c r="B3"/>
      <c r="C3"/>
      <c r="D3"/>
      <c r="E3"/>
      <c r="F3"/>
      <c r="G3"/>
    </row>
    <row r="4" spans="1:7" ht="16.5" customHeight="1" thickBot="1" x14ac:dyDescent="0.3">
      <c r="A4" s="204" t="s">
        <v>37</v>
      </c>
      <c r="B4" s="206" t="s">
        <v>274</v>
      </c>
      <c r="C4" s="207"/>
      <c r="D4" s="206" t="s">
        <v>275</v>
      </c>
      <c r="E4" s="208"/>
      <c r="F4" s="208"/>
      <c r="G4" s="207"/>
    </row>
    <row r="5" spans="1:7" ht="15" customHeight="1" x14ac:dyDescent="0.25">
      <c r="A5" s="205"/>
      <c r="B5" s="204" t="s">
        <v>276</v>
      </c>
      <c r="C5" s="204" t="s">
        <v>277</v>
      </c>
      <c r="D5" s="204" t="s">
        <v>278</v>
      </c>
      <c r="E5" s="210" t="s">
        <v>38</v>
      </c>
      <c r="F5" s="211"/>
      <c r="G5" s="212"/>
    </row>
    <row r="6" spans="1:7" ht="15.75" customHeight="1" thickBot="1" x14ac:dyDescent="0.3">
      <c r="A6" s="205"/>
      <c r="B6" s="205"/>
      <c r="C6" s="205"/>
      <c r="D6" s="205"/>
      <c r="E6" s="213"/>
      <c r="F6" s="214"/>
      <c r="G6" s="215"/>
    </row>
    <row r="7" spans="1:7" ht="15" customHeight="1" x14ac:dyDescent="0.25">
      <c r="A7" s="205"/>
      <c r="B7" s="205"/>
      <c r="C7" s="205"/>
      <c r="D7" s="205"/>
      <c r="E7" s="204" t="s">
        <v>279</v>
      </c>
      <c r="F7" s="204" t="s">
        <v>280</v>
      </c>
      <c r="G7" s="204" t="s">
        <v>281</v>
      </c>
    </row>
    <row r="8" spans="1:7" ht="15" customHeight="1" x14ac:dyDescent="0.25">
      <c r="A8" s="205"/>
      <c r="B8" s="205"/>
      <c r="C8" s="205"/>
      <c r="D8" s="205"/>
      <c r="E8" s="205"/>
      <c r="F8" s="205"/>
      <c r="G8" s="205"/>
    </row>
    <row r="9" spans="1:7" ht="90.75" customHeight="1" thickBot="1" x14ac:dyDescent="0.3">
      <c r="A9" s="205"/>
      <c r="B9" s="205"/>
      <c r="C9" s="205"/>
      <c r="D9" s="209"/>
      <c r="E9" s="205"/>
      <c r="F9" s="205"/>
      <c r="G9" s="205"/>
    </row>
    <row r="10" spans="1:7" ht="32.25" customHeight="1" thickBot="1" x14ac:dyDescent="0.3">
      <c r="A10" s="136" t="s">
        <v>282</v>
      </c>
      <c r="B10" s="137"/>
      <c r="C10" s="137"/>
      <c r="D10" s="144">
        <f>E10+F10+G10</f>
        <v>277443.25</v>
      </c>
      <c r="E10" s="144"/>
      <c r="F10" s="144"/>
      <c r="G10" s="145">
        <f>ф.5!H6+ф.6!H5</f>
        <v>277443.25</v>
      </c>
    </row>
    <row r="11" spans="1:7" ht="16.5" thickBot="1" x14ac:dyDescent="0.3">
      <c r="A11" s="119" t="s">
        <v>283</v>
      </c>
      <c r="B11" s="151" t="s">
        <v>139</v>
      </c>
      <c r="C11" s="151"/>
      <c r="D11" s="169">
        <f>E11+F11+G11</f>
        <v>51140061.439999998</v>
      </c>
      <c r="E11" s="169">
        <f>E14+E19</f>
        <v>38425760</v>
      </c>
      <c r="F11" s="169">
        <f>F14+F22</f>
        <v>10832487.5</v>
      </c>
      <c r="G11" s="169">
        <f>G12+G14+G21+G23+G24</f>
        <v>1881813.94</v>
      </c>
    </row>
    <row r="12" spans="1:7" ht="15.75" x14ac:dyDescent="0.25">
      <c r="A12" s="138" t="s">
        <v>38</v>
      </c>
      <c r="B12" s="139"/>
      <c r="C12" s="139"/>
      <c r="D12" s="216">
        <f>G12</f>
        <v>1634175.8</v>
      </c>
      <c r="E12" s="146"/>
      <c r="F12" s="146"/>
      <c r="G12" s="216">
        <f>ф.6!H6-5.48-24.66</f>
        <v>1634175.8</v>
      </c>
    </row>
    <row r="13" spans="1:7" ht="16.5" thickBot="1" x14ac:dyDescent="0.3">
      <c r="A13" s="128" t="s">
        <v>284</v>
      </c>
      <c r="B13" s="131" t="s">
        <v>139</v>
      </c>
      <c r="C13" s="131">
        <v>120</v>
      </c>
      <c r="D13" s="217"/>
      <c r="E13" s="143" t="s">
        <v>139</v>
      </c>
      <c r="F13" s="143" t="s">
        <v>139</v>
      </c>
      <c r="G13" s="217"/>
    </row>
    <row r="14" spans="1:7" ht="16.5" thickBot="1" x14ac:dyDescent="0.3">
      <c r="A14" s="128" t="s">
        <v>285</v>
      </c>
      <c r="B14" s="131" t="s">
        <v>139</v>
      </c>
      <c r="C14" s="131">
        <v>130</v>
      </c>
      <c r="D14" s="143">
        <f>E14+F14+G14</f>
        <v>247608</v>
      </c>
      <c r="E14" s="143">
        <v>0</v>
      </c>
      <c r="F14" s="143">
        <v>0</v>
      </c>
      <c r="G14" s="143">
        <f>G15+G18</f>
        <v>247608</v>
      </c>
    </row>
    <row r="15" spans="1:7" ht="15.75" x14ac:dyDescent="0.25">
      <c r="A15" s="138" t="s">
        <v>286</v>
      </c>
      <c r="B15" s="218" t="s">
        <v>139</v>
      </c>
      <c r="C15" s="218">
        <v>130</v>
      </c>
      <c r="D15" s="216">
        <f>G15</f>
        <v>0</v>
      </c>
      <c r="E15" s="216" t="s">
        <v>139</v>
      </c>
      <c r="F15" s="216" t="s">
        <v>139</v>
      </c>
      <c r="G15" s="216">
        <v>0</v>
      </c>
    </row>
    <row r="16" spans="1:7" ht="15" customHeight="1" x14ac:dyDescent="0.25">
      <c r="A16" s="222" t="s">
        <v>287</v>
      </c>
      <c r="B16" s="219"/>
      <c r="C16" s="219"/>
      <c r="D16" s="221"/>
      <c r="E16" s="221"/>
      <c r="F16" s="221"/>
      <c r="G16" s="221"/>
    </row>
    <row r="17" spans="1:7" ht="67.5" customHeight="1" thickBot="1" x14ac:dyDescent="0.3">
      <c r="A17" s="223"/>
      <c r="B17" s="220"/>
      <c r="C17" s="220"/>
      <c r="D17" s="217"/>
      <c r="E17" s="217"/>
      <c r="F17" s="217"/>
      <c r="G17" s="217"/>
    </row>
    <row r="18" spans="1:7" ht="52.5" customHeight="1" thickBot="1" x14ac:dyDescent="0.3">
      <c r="A18" s="128" t="s">
        <v>288</v>
      </c>
      <c r="B18" s="131" t="s">
        <v>139</v>
      </c>
      <c r="C18" s="131">
        <v>130</v>
      </c>
      <c r="D18" s="143">
        <f>G18</f>
        <v>247608</v>
      </c>
      <c r="E18" s="143" t="s">
        <v>139</v>
      </c>
      <c r="F18" s="143" t="s">
        <v>139</v>
      </c>
      <c r="G18" s="143">
        <f>ф.5!H7</f>
        <v>247608</v>
      </c>
    </row>
    <row r="19" spans="1:7" ht="15" customHeight="1" x14ac:dyDescent="0.25">
      <c r="A19" s="224" t="s">
        <v>289</v>
      </c>
      <c r="B19" s="218" t="s">
        <v>139</v>
      </c>
      <c r="C19" s="218">
        <v>130</v>
      </c>
      <c r="D19" s="216">
        <f>E19</f>
        <v>38425760</v>
      </c>
      <c r="E19" s="216">
        <f>ф.3!F8</f>
        <v>38425760</v>
      </c>
      <c r="F19" s="216" t="s">
        <v>139</v>
      </c>
      <c r="G19" s="216" t="s">
        <v>139</v>
      </c>
    </row>
    <row r="20" spans="1:7" ht="15.75" customHeight="1" thickBot="1" x14ac:dyDescent="0.3">
      <c r="A20" s="223"/>
      <c r="B20" s="220"/>
      <c r="C20" s="220"/>
      <c r="D20" s="217"/>
      <c r="E20" s="217"/>
      <c r="F20" s="217"/>
      <c r="G20" s="217"/>
    </row>
    <row r="21" spans="1:7" ht="32.25" thickBot="1" x14ac:dyDescent="0.3">
      <c r="A21" s="128" t="s">
        <v>290</v>
      </c>
      <c r="B21" s="131" t="s">
        <v>291</v>
      </c>
      <c r="C21" s="131">
        <v>140</v>
      </c>
      <c r="D21" s="143">
        <f>G21</f>
        <v>30.14</v>
      </c>
      <c r="E21" s="143" t="s">
        <v>139</v>
      </c>
      <c r="F21" s="143" t="s">
        <v>139</v>
      </c>
      <c r="G21" s="143">
        <f>5.48+24.66</f>
        <v>30.14</v>
      </c>
    </row>
    <row r="22" spans="1:7" ht="32.25" customHeight="1" thickBot="1" x14ac:dyDescent="0.3">
      <c r="A22" s="128" t="s">
        <v>292</v>
      </c>
      <c r="B22" s="131" t="s">
        <v>139</v>
      </c>
      <c r="C22" s="131">
        <v>180</v>
      </c>
      <c r="D22" s="143">
        <f>F22</f>
        <v>10832487.5</v>
      </c>
      <c r="E22" s="143" t="s">
        <v>139</v>
      </c>
      <c r="F22" s="143">
        <f>ф.4!H9+ф.4!H23+'ф.4 (2)'!H9+'ф.4 (2)'!H24+'ф.4 (3)'!H9+'ф.4 (4)'!H9+'ф.4 (4)'!H29+'ф.4 (5)'!H9+'ф.4 (5)'!H23+'ф.4(6)'!H10</f>
        <v>10832487.5</v>
      </c>
      <c r="G22" s="143" t="s">
        <v>139</v>
      </c>
    </row>
    <row r="23" spans="1:7" ht="16.5" thickBot="1" x14ac:dyDescent="0.3">
      <c r="A23" s="128" t="s">
        <v>293</v>
      </c>
      <c r="B23" s="131" t="s">
        <v>139</v>
      </c>
      <c r="C23" s="131">
        <v>180</v>
      </c>
      <c r="D23" s="143">
        <f>G23</f>
        <v>0</v>
      </c>
      <c r="E23" s="143" t="s">
        <v>139</v>
      </c>
      <c r="F23" s="143" t="s">
        <v>139</v>
      </c>
      <c r="G23" s="143">
        <v>0</v>
      </c>
    </row>
    <row r="24" spans="1:7" ht="16.5" thickBot="1" x14ac:dyDescent="0.3">
      <c r="A24" s="128" t="s">
        <v>294</v>
      </c>
      <c r="B24" s="131" t="s">
        <v>139</v>
      </c>
      <c r="C24" s="131" t="s">
        <v>139</v>
      </c>
      <c r="D24" s="143">
        <f>G24</f>
        <v>0</v>
      </c>
      <c r="E24" s="143" t="s">
        <v>139</v>
      </c>
      <c r="F24" s="143" t="s">
        <v>139</v>
      </c>
      <c r="G24" s="143">
        <v>0</v>
      </c>
    </row>
    <row r="25" spans="1:7" ht="16.5" thickBot="1" x14ac:dyDescent="0.3">
      <c r="A25" s="128"/>
      <c r="B25" s="131"/>
      <c r="C25" s="131"/>
      <c r="D25" s="143"/>
      <c r="E25" s="143"/>
      <c r="F25" s="143"/>
      <c r="G25" s="143"/>
    </row>
    <row r="26" spans="1:7" ht="16.5" thickBot="1" x14ac:dyDescent="0.3">
      <c r="A26" s="119" t="s">
        <v>295</v>
      </c>
      <c r="B26" s="151" t="s">
        <v>139</v>
      </c>
      <c r="C26" s="151" t="s">
        <v>139</v>
      </c>
      <c r="D26" s="169">
        <f>E26+F26+G26</f>
        <v>51417504.689999998</v>
      </c>
      <c r="E26" s="169">
        <f>E27+E35+E37+E54+E58</f>
        <v>38425760</v>
      </c>
      <c r="F26" s="169">
        <f>F27+F35+F37+F54+F58</f>
        <v>10832487.5</v>
      </c>
      <c r="G26" s="169">
        <f>G27+G35+G37+G54+G58</f>
        <v>2159257.19</v>
      </c>
    </row>
    <row r="27" spans="1:7" ht="31.5" x14ac:dyDescent="0.25">
      <c r="A27" s="138" t="s">
        <v>296</v>
      </c>
      <c r="B27" s="218">
        <v>100</v>
      </c>
      <c r="C27" s="218" t="s">
        <v>139</v>
      </c>
      <c r="D27" s="216">
        <f>E27+F27+G27</f>
        <v>35939300</v>
      </c>
      <c r="E27" s="216">
        <f>E29</f>
        <v>34468300</v>
      </c>
      <c r="F27" s="216">
        <f>F29</f>
        <v>1439000</v>
      </c>
      <c r="G27" s="216">
        <f>G29</f>
        <v>32000</v>
      </c>
    </row>
    <row r="28" spans="1:7" ht="16.5" thickBot="1" x14ac:dyDescent="0.3">
      <c r="A28" s="128" t="s">
        <v>297</v>
      </c>
      <c r="B28" s="220"/>
      <c r="C28" s="220"/>
      <c r="D28" s="217"/>
      <c r="E28" s="217"/>
      <c r="F28" s="217"/>
      <c r="G28" s="217"/>
    </row>
    <row r="29" spans="1:7" ht="15.75" x14ac:dyDescent="0.25">
      <c r="A29" s="138" t="s">
        <v>298</v>
      </c>
      <c r="B29" s="218">
        <v>110</v>
      </c>
      <c r="C29" s="218">
        <v>210</v>
      </c>
      <c r="D29" s="216">
        <f>E29+F29+G29</f>
        <v>35939300</v>
      </c>
      <c r="E29" s="216">
        <f>SUM(E31:E34)</f>
        <v>34468300</v>
      </c>
      <c r="F29" s="216">
        <f>SUM(F31:F34)</f>
        <v>1439000</v>
      </c>
      <c r="G29" s="216">
        <f>SUM(G31:G34)</f>
        <v>32000</v>
      </c>
    </row>
    <row r="30" spans="1:7" ht="32.25" customHeight="1" thickBot="1" x14ac:dyDescent="0.3">
      <c r="A30" s="128" t="s">
        <v>299</v>
      </c>
      <c r="B30" s="220"/>
      <c r="C30" s="220"/>
      <c r="D30" s="217"/>
      <c r="E30" s="217"/>
      <c r="F30" s="217"/>
      <c r="G30" s="217"/>
    </row>
    <row r="31" spans="1:7" ht="15.75" x14ac:dyDescent="0.25">
      <c r="A31" s="138" t="s">
        <v>286</v>
      </c>
      <c r="B31" s="218">
        <v>111</v>
      </c>
      <c r="C31" s="218">
        <v>211</v>
      </c>
      <c r="D31" s="216">
        <f>E31+F31+G31</f>
        <v>26360400</v>
      </c>
      <c r="E31" s="216">
        <f>ф.3!F11</f>
        <v>26360400</v>
      </c>
      <c r="F31" s="216">
        <v>0</v>
      </c>
      <c r="G31" s="216">
        <v>0</v>
      </c>
    </row>
    <row r="32" spans="1:7" ht="16.5" thickBot="1" x14ac:dyDescent="0.3">
      <c r="A32" s="128" t="s">
        <v>300</v>
      </c>
      <c r="B32" s="220"/>
      <c r="C32" s="220"/>
      <c r="D32" s="217"/>
      <c r="E32" s="217"/>
      <c r="F32" s="217"/>
      <c r="G32" s="217"/>
    </row>
    <row r="33" spans="1:7" ht="39.75" customHeight="1" thickBot="1" x14ac:dyDescent="0.3">
      <c r="A33" s="140" t="s">
        <v>301</v>
      </c>
      <c r="B33" s="131">
        <v>112</v>
      </c>
      <c r="C33" s="131">
        <v>212</v>
      </c>
      <c r="D33" s="143">
        <f t="shared" ref="D33:D38" si="0">E33+F33+G33</f>
        <v>1611518.75</v>
      </c>
      <c r="E33" s="143">
        <f>ф.3!F12</f>
        <v>197700</v>
      </c>
      <c r="F33" s="143">
        <f>ф.4!H12+ф.4!H26+'ф.4(6)'!H13</f>
        <v>1381818.75</v>
      </c>
      <c r="G33" s="143">
        <f>ф.5!H11+ф.6!H10</f>
        <v>32000</v>
      </c>
    </row>
    <row r="34" spans="1:7" ht="54" customHeight="1" thickBot="1" x14ac:dyDescent="0.3">
      <c r="A34" s="140" t="s">
        <v>302</v>
      </c>
      <c r="B34" s="131">
        <v>119</v>
      </c>
      <c r="C34" s="131">
        <v>213</v>
      </c>
      <c r="D34" s="143">
        <f t="shared" si="0"/>
        <v>7967381.25</v>
      </c>
      <c r="E34" s="143">
        <f>ф.3!F13</f>
        <v>7910200</v>
      </c>
      <c r="F34" s="143">
        <f>ф.4!H13+ф.4!H27</f>
        <v>57181.25</v>
      </c>
      <c r="G34" s="143">
        <v>0</v>
      </c>
    </row>
    <row r="35" spans="1:7" ht="51" customHeight="1" thickBot="1" x14ac:dyDescent="0.3">
      <c r="A35" s="128" t="s">
        <v>333</v>
      </c>
      <c r="B35" s="131">
        <v>113</v>
      </c>
      <c r="C35" s="131" t="s">
        <v>139</v>
      </c>
      <c r="D35" s="143">
        <f t="shared" si="0"/>
        <v>1252296.6000000001</v>
      </c>
      <c r="E35" s="143">
        <f>E36</f>
        <v>0</v>
      </c>
      <c r="F35" s="143">
        <f t="shared" ref="F35:G35" si="1">F36</f>
        <v>1252296.6000000001</v>
      </c>
      <c r="G35" s="143">
        <f t="shared" si="1"/>
        <v>0</v>
      </c>
    </row>
    <row r="36" spans="1:7" ht="39.75" customHeight="1" thickBot="1" x14ac:dyDescent="0.3">
      <c r="A36" s="128" t="s">
        <v>334</v>
      </c>
      <c r="B36" s="131">
        <v>113</v>
      </c>
      <c r="C36" s="131">
        <v>290</v>
      </c>
      <c r="D36" s="143">
        <f t="shared" si="0"/>
        <v>1252296.6000000001</v>
      </c>
      <c r="E36" s="143">
        <v>0</v>
      </c>
      <c r="F36" s="143">
        <f>'ф.4 (3)'!H12+'ф.4 (4)'!H32</f>
        <v>1252296.6000000001</v>
      </c>
      <c r="G36" s="143">
        <v>0</v>
      </c>
    </row>
    <row r="37" spans="1:7" ht="39.75" customHeight="1" thickBot="1" x14ac:dyDescent="0.3">
      <c r="A37" s="128" t="s">
        <v>303</v>
      </c>
      <c r="B37" s="131">
        <v>200</v>
      </c>
      <c r="C37" s="131" t="s">
        <v>139</v>
      </c>
      <c r="D37" s="143">
        <f t="shared" si="0"/>
        <v>10720008.32</v>
      </c>
      <c r="E37" s="143">
        <f>E38</f>
        <v>3566460</v>
      </c>
      <c r="F37" s="143">
        <f>F38</f>
        <v>5071160</v>
      </c>
      <c r="G37" s="143">
        <f>G38</f>
        <v>2082388.3199999998</v>
      </c>
    </row>
    <row r="38" spans="1:7" ht="15.75" x14ac:dyDescent="0.25">
      <c r="A38" s="138" t="s">
        <v>304</v>
      </c>
      <c r="B38" s="218">
        <v>240</v>
      </c>
      <c r="C38" s="218" t="s">
        <v>139</v>
      </c>
      <c r="D38" s="216">
        <f t="shared" si="0"/>
        <v>10720008.32</v>
      </c>
      <c r="E38" s="216">
        <f>E40+E44</f>
        <v>3566460</v>
      </c>
      <c r="F38" s="216">
        <f>F40+F44</f>
        <v>5071160</v>
      </c>
      <c r="G38" s="216">
        <f>G40+G44</f>
        <v>2082388.3199999998</v>
      </c>
    </row>
    <row r="39" spans="1:7" ht="48" customHeight="1" thickBot="1" x14ac:dyDescent="0.3">
      <c r="A39" s="128" t="s">
        <v>305</v>
      </c>
      <c r="B39" s="220"/>
      <c r="C39" s="220"/>
      <c r="D39" s="217"/>
      <c r="E39" s="217"/>
      <c r="F39" s="217"/>
      <c r="G39" s="217"/>
    </row>
    <row r="40" spans="1:7" ht="15.75" x14ac:dyDescent="0.25">
      <c r="A40" s="138" t="s">
        <v>286</v>
      </c>
      <c r="B40" s="218">
        <v>243</v>
      </c>
      <c r="C40" s="218" t="s">
        <v>139</v>
      </c>
      <c r="D40" s="216">
        <f>E40+F40+G40</f>
        <v>0</v>
      </c>
      <c r="E40" s="216">
        <f>SUM(E42:E43)</f>
        <v>0</v>
      </c>
      <c r="F40" s="216">
        <f>SUM(F42:F43)</f>
        <v>0</v>
      </c>
      <c r="G40" s="216">
        <f>SUM(G42:G43)</f>
        <v>0</v>
      </c>
    </row>
    <row r="41" spans="1:7" ht="39" customHeight="1" thickBot="1" x14ac:dyDescent="0.3">
      <c r="A41" s="128" t="s">
        <v>306</v>
      </c>
      <c r="B41" s="220"/>
      <c r="C41" s="220"/>
      <c r="D41" s="217"/>
      <c r="E41" s="217"/>
      <c r="F41" s="217"/>
      <c r="G41" s="217"/>
    </row>
    <row r="42" spans="1:7" ht="17.25" customHeight="1" thickBot="1" x14ac:dyDescent="0.3">
      <c r="A42" s="128" t="s">
        <v>307</v>
      </c>
      <c r="B42" s="131" t="s">
        <v>308</v>
      </c>
      <c r="C42" s="131">
        <v>225</v>
      </c>
      <c r="D42" s="143">
        <f>E42+F42+G42</f>
        <v>0</v>
      </c>
      <c r="E42" s="143">
        <v>0</v>
      </c>
      <c r="F42" s="143">
        <v>0</v>
      </c>
      <c r="G42" s="143">
        <v>0</v>
      </c>
    </row>
    <row r="43" spans="1:7" ht="16.5" thickBot="1" x14ac:dyDescent="0.3">
      <c r="A43" s="128" t="s">
        <v>309</v>
      </c>
      <c r="B43" s="131" t="s">
        <v>308</v>
      </c>
      <c r="C43" s="131">
        <v>226</v>
      </c>
      <c r="D43" s="143">
        <f>E43+F43+G43</f>
        <v>0</v>
      </c>
      <c r="E43" s="143">
        <v>0</v>
      </c>
      <c r="F43" s="143">
        <v>0</v>
      </c>
      <c r="G43" s="143">
        <v>0</v>
      </c>
    </row>
    <row r="44" spans="1:7" ht="38.25" customHeight="1" thickBot="1" x14ac:dyDescent="0.3">
      <c r="A44" s="140" t="s">
        <v>310</v>
      </c>
      <c r="B44" s="131">
        <v>244</v>
      </c>
      <c r="C44" s="131" t="s">
        <v>139</v>
      </c>
      <c r="D44" s="143">
        <f>E44+F44+G44</f>
        <v>10720008.32</v>
      </c>
      <c r="E44" s="143">
        <f>SUM(E45:E53)</f>
        <v>3566460</v>
      </c>
      <c r="F44" s="143">
        <f>SUM(F45:F53)</f>
        <v>5071160</v>
      </c>
      <c r="G44" s="143">
        <f>SUM(G45:G53)</f>
        <v>2082388.3199999998</v>
      </c>
    </row>
    <row r="45" spans="1:7" ht="16.5" thickBot="1" x14ac:dyDescent="0.3">
      <c r="A45" s="128" t="s">
        <v>311</v>
      </c>
      <c r="B45" s="131">
        <v>244</v>
      </c>
      <c r="C45" s="131">
        <v>221</v>
      </c>
      <c r="D45" s="143">
        <f t="shared" ref="D45:D53" si="2">E45+F45+G45</f>
        <v>313401.84999999998</v>
      </c>
      <c r="E45" s="143">
        <f>ф.3!F16</f>
        <v>305000</v>
      </c>
      <c r="F45" s="143">
        <v>0</v>
      </c>
      <c r="G45" s="143">
        <f>ф.5!H15+ф.6!H14</f>
        <v>8401.85</v>
      </c>
    </row>
    <row r="46" spans="1:7" ht="16.5" thickBot="1" x14ac:dyDescent="0.3">
      <c r="A46" s="128" t="s">
        <v>312</v>
      </c>
      <c r="B46" s="131">
        <v>244</v>
      </c>
      <c r="C46" s="131">
        <v>222</v>
      </c>
      <c r="D46" s="143">
        <f t="shared" si="2"/>
        <v>0</v>
      </c>
      <c r="E46" s="143">
        <f>ф.3!F17</f>
        <v>0</v>
      </c>
      <c r="F46" s="143">
        <v>0</v>
      </c>
      <c r="G46" s="143">
        <f>ф.5!H16+ф.6!H15</f>
        <v>0</v>
      </c>
    </row>
    <row r="47" spans="1:7" ht="16.5" thickBot="1" x14ac:dyDescent="0.3">
      <c r="A47" s="128" t="s">
        <v>313</v>
      </c>
      <c r="B47" s="131">
        <v>244</v>
      </c>
      <c r="C47" s="131">
        <v>223</v>
      </c>
      <c r="D47" s="143">
        <f t="shared" si="2"/>
        <v>1613130.5899999999</v>
      </c>
      <c r="E47" s="143">
        <f>ф.3!F18</f>
        <v>1140070</v>
      </c>
      <c r="F47" s="143">
        <v>0</v>
      </c>
      <c r="G47" s="143">
        <f>ф.5!H17+ф.6!H16</f>
        <v>473060.58999999997</v>
      </c>
    </row>
    <row r="48" spans="1:7" ht="18" customHeight="1" thickBot="1" x14ac:dyDescent="0.3">
      <c r="A48" s="128" t="s">
        <v>314</v>
      </c>
      <c r="B48" s="131">
        <v>244</v>
      </c>
      <c r="C48" s="131">
        <v>224</v>
      </c>
      <c r="D48" s="143">
        <f t="shared" si="2"/>
        <v>0</v>
      </c>
      <c r="E48" s="143">
        <f>ф.3!F19</f>
        <v>0</v>
      </c>
      <c r="F48" s="143">
        <v>0</v>
      </c>
      <c r="G48" s="143">
        <f>ф.5!H18+ф.6!H17</f>
        <v>0</v>
      </c>
    </row>
    <row r="49" spans="1:7" ht="18.75" customHeight="1" thickBot="1" x14ac:dyDescent="0.3">
      <c r="A49" s="128" t="s">
        <v>307</v>
      </c>
      <c r="B49" s="131" t="s">
        <v>315</v>
      </c>
      <c r="C49" s="131">
        <v>225</v>
      </c>
      <c r="D49" s="143">
        <f t="shared" si="2"/>
        <v>1033771.07</v>
      </c>
      <c r="E49" s="143">
        <f>ф.3!F20</f>
        <v>649000</v>
      </c>
      <c r="F49" s="143">
        <f>'ф.4 (2)'!H13+'ф.4 (5)'!H27</f>
        <v>36000</v>
      </c>
      <c r="G49" s="143">
        <f>ф.5!H19+ф.6!H18</f>
        <v>348771.06999999995</v>
      </c>
    </row>
    <row r="50" spans="1:7" ht="16.5" thickBot="1" x14ac:dyDescent="0.3">
      <c r="A50" s="128" t="s">
        <v>309</v>
      </c>
      <c r="B50" s="131" t="s">
        <v>315</v>
      </c>
      <c r="C50" s="131">
        <v>226</v>
      </c>
      <c r="D50" s="143">
        <f t="shared" si="2"/>
        <v>3039528.01</v>
      </c>
      <c r="E50" s="143">
        <f>ф.3!F21</f>
        <v>917690</v>
      </c>
      <c r="F50" s="143">
        <f>'ф.4 (2)'!H14+'ф.4 (2)'!H28+'ф.4 (3)'!H15+'ф.4 (4)'!H13+'ф.4 (4)'!H35+'ф.4 (5)'!H13+'ф.4 (5)'!H28</f>
        <v>1665160</v>
      </c>
      <c r="G50" s="143">
        <f>ф.5!H20+ф.6!H19</f>
        <v>456678.00999999995</v>
      </c>
    </row>
    <row r="51" spans="1:7" ht="16.5" thickBot="1" x14ac:dyDescent="0.3">
      <c r="A51" s="128" t="s">
        <v>316</v>
      </c>
      <c r="B51" s="131">
        <v>244</v>
      </c>
      <c r="C51" s="131">
        <v>290</v>
      </c>
      <c r="D51" s="143">
        <f t="shared" si="2"/>
        <v>1872080</v>
      </c>
      <c r="E51" s="143">
        <f>ф.3!F22</f>
        <v>0</v>
      </c>
      <c r="F51" s="143">
        <f>'ф.4 (2)'!H29+'ф.4 (3)'!H16+'ф.4 (4)'!H14+'ф.4 (4)'!H36</f>
        <v>1852080</v>
      </c>
      <c r="G51" s="143">
        <f>ф.5!H21+ф.6!H20</f>
        <v>20000</v>
      </c>
    </row>
    <row r="52" spans="1:7" ht="16.5" thickBot="1" x14ac:dyDescent="0.3">
      <c r="A52" s="128" t="s">
        <v>317</v>
      </c>
      <c r="B52" s="131">
        <v>244</v>
      </c>
      <c r="C52" s="131">
        <v>310</v>
      </c>
      <c r="D52" s="143">
        <f t="shared" si="2"/>
        <v>1445529</v>
      </c>
      <c r="E52" s="143">
        <f>ф.3!F24</f>
        <v>0</v>
      </c>
      <c r="F52" s="143">
        <f>'ф.4 (3)'!H18</f>
        <v>1000000</v>
      </c>
      <c r="G52" s="143">
        <f>ф.5!H23+ф.6!H22</f>
        <v>445529</v>
      </c>
    </row>
    <row r="53" spans="1:7" ht="18.75" customHeight="1" thickBot="1" x14ac:dyDescent="0.3">
      <c r="A53" s="128" t="s">
        <v>318</v>
      </c>
      <c r="B53" s="131">
        <v>244</v>
      </c>
      <c r="C53" s="131">
        <v>340</v>
      </c>
      <c r="D53" s="143">
        <f t="shared" si="2"/>
        <v>1402567.8</v>
      </c>
      <c r="E53" s="143">
        <f>ф.3!F25</f>
        <v>554700</v>
      </c>
      <c r="F53" s="143">
        <f>'ф.4 (2)'!H32+'ф.4 (3)'!H19+'ф.4 (4)'!H17+'ф.4 (4)'!H39</f>
        <v>517920</v>
      </c>
      <c r="G53" s="143">
        <f>ф.5!H24+ф.6!H23</f>
        <v>329947.8</v>
      </c>
    </row>
    <row r="54" spans="1:7" ht="23.25" customHeight="1" thickBot="1" x14ac:dyDescent="0.3">
      <c r="A54" s="141" t="s">
        <v>319</v>
      </c>
      <c r="B54" s="131">
        <v>300</v>
      </c>
      <c r="C54" s="131" t="s">
        <v>139</v>
      </c>
      <c r="D54" s="143">
        <f>E54+F54+G54</f>
        <v>3070030.9</v>
      </c>
      <c r="E54" s="143">
        <f>E55</f>
        <v>0</v>
      </c>
      <c r="F54" s="143">
        <f>F55</f>
        <v>3070030.9</v>
      </c>
      <c r="G54" s="143">
        <f>G55</f>
        <v>0</v>
      </c>
    </row>
    <row r="55" spans="1:7" ht="15" customHeight="1" x14ac:dyDescent="0.25">
      <c r="A55" s="142" t="s">
        <v>304</v>
      </c>
      <c r="B55" s="218">
        <v>350</v>
      </c>
      <c r="C55" s="218" t="s">
        <v>139</v>
      </c>
      <c r="D55" s="216">
        <f>E55+F55+G55</f>
        <v>3070030.9</v>
      </c>
      <c r="E55" s="216">
        <f>E57</f>
        <v>0</v>
      </c>
      <c r="F55" s="216">
        <f>F57</f>
        <v>3070030.9</v>
      </c>
      <c r="G55" s="216">
        <f>G57</f>
        <v>0</v>
      </c>
    </row>
    <row r="56" spans="1:7" ht="15.75" customHeight="1" thickBot="1" x14ac:dyDescent="0.3">
      <c r="A56" s="141" t="s">
        <v>320</v>
      </c>
      <c r="B56" s="220"/>
      <c r="C56" s="220"/>
      <c r="D56" s="217"/>
      <c r="E56" s="217"/>
      <c r="F56" s="217"/>
      <c r="G56" s="217"/>
    </row>
    <row r="57" spans="1:7" ht="16.5" thickBot="1" x14ac:dyDescent="0.3">
      <c r="A57" s="141" t="s">
        <v>316</v>
      </c>
      <c r="B57" s="131">
        <v>350</v>
      </c>
      <c r="C57" s="131">
        <v>290</v>
      </c>
      <c r="D57" s="143">
        <f>E57+F57+G57</f>
        <v>3070030.9</v>
      </c>
      <c r="E57" s="143">
        <v>0</v>
      </c>
      <c r="F57" s="143">
        <f>'ф.4 (2)'!H34+'ф.4 (3)'!G25+'ф.4 (4)'!H19+'ф.4 (4)'!H41</f>
        <v>3070030.9</v>
      </c>
      <c r="G57" s="143">
        <f>ф.6!H29</f>
        <v>0</v>
      </c>
    </row>
    <row r="58" spans="1:7" ht="16.5" thickBot="1" x14ac:dyDescent="0.3">
      <c r="A58" s="141" t="s">
        <v>321</v>
      </c>
      <c r="B58" s="131">
        <v>800</v>
      </c>
      <c r="C58" s="131" t="s">
        <v>139</v>
      </c>
      <c r="D58" s="143">
        <f>E58+F58+G58</f>
        <v>435868.87</v>
      </c>
      <c r="E58" s="143">
        <f>SUM(E59+E62+E64)</f>
        <v>391000</v>
      </c>
      <c r="F58" s="143">
        <f>F59+F62+F64</f>
        <v>0</v>
      </c>
      <c r="G58" s="143">
        <f>G59+G62+G64</f>
        <v>44868.87</v>
      </c>
    </row>
    <row r="59" spans="1:7" ht="15" customHeight="1" x14ac:dyDescent="0.25">
      <c r="A59" s="142" t="s">
        <v>304</v>
      </c>
      <c r="B59" s="218">
        <v>851</v>
      </c>
      <c r="C59" s="218" t="s">
        <v>139</v>
      </c>
      <c r="D59" s="216">
        <f>E59+F59+G59</f>
        <v>381000</v>
      </c>
      <c r="E59" s="216">
        <f>E61</f>
        <v>381000</v>
      </c>
      <c r="F59" s="216">
        <f>F61</f>
        <v>0</v>
      </c>
      <c r="G59" s="216">
        <f>G61</f>
        <v>0</v>
      </c>
    </row>
    <row r="60" spans="1:7" ht="15.75" customHeight="1" thickBot="1" x14ac:dyDescent="0.3">
      <c r="A60" s="141" t="s">
        <v>322</v>
      </c>
      <c r="B60" s="220"/>
      <c r="C60" s="220"/>
      <c r="D60" s="217"/>
      <c r="E60" s="217"/>
      <c r="F60" s="217"/>
      <c r="G60" s="217"/>
    </row>
    <row r="61" spans="1:7" ht="16.5" thickBot="1" x14ac:dyDescent="0.3">
      <c r="A61" s="141" t="s">
        <v>316</v>
      </c>
      <c r="B61" s="131">
        <v>851</v>
      </c>
      <c r="C61" s="131">
        <v>290</v>
      </c>
      <c r="D61" s="143">
        <f>E61+F61+G61</f>
        <v>381000</v>
      </c>
      <c r="E61" s="143">
        <f>ф.3!F31</f>
        <v>381000</v>
      </c>
      <c r="F61" s="143">
        <v>0</v>
      </c>
      <c r="G61" s="143">
        <f>ф.5!H30+ф.6!H31</f>
        <v>0</v>
      </c>
    </row>
    <row r="62" spans="1:7" ht="16.5" thickBot="1" x14ac:dyDescent="0.3">
      <c r="A62" s="141" t="s">
        <v>323</v>
      </c>
      <c r="B62" s="131">
        <v>852</v>
      </c>
      <c r="C62" s="131" t="s">
        <v>139</v>
      </c>
      <c r="D62" s="143">
        <f t="shared" ref="D62:D65" si="3">E62+F62+G62</f>
        <v>24868.870000000003</v>
      </c>
      <c r="E62" s="143">
        <f>E63</f>
        <v>10000</v>
      </c>
      <c r="F62" s="143">
        <f>F63</f>
        <v>0</v>
      </c>
      <c r="G62" s="143">
        <f>G63</f>
        <v>14868.870000000003</v>
      </c>
    </row>
    <row r="63" spans="1:7" ht="16.5" thickBot="1" x14ac:dyDescent="0.3">
      <c r="A63" s="141" t="s">
        <v>316</v>
      </c>
      <c r="B63" s="131">
        <v>852</v>
      </c>
      <c r="C63" s="131">
        <v>290</v>
      </c>
      <c r="D63" s="143">
        <f t="shared" si="3"/>
        <v>24868.870000000003</v>
      </c>
      <c r="E63" s="143">
        <f>ф.3!F32</f>
        <v>10000</v>
      </c>
      <c r="F63" s="143">
        <v>0</v>
      </c>
      <c r="G63" s="143">
        <f>ф.5!G31+ф.6!H32</f>
        <v>14868.870000000003</v>
      </c>
    </row>
    <row r="64" spans="1:7" ht="16.5" thickBot="1" x14ac:dyDescent="0.3">
      <c r="A64" s="141" t="s">
        <v>324</v>
      </c>
      <c r="B64" s="131">
        <v>853</v>
      </c>
      <c r="C64" s="131" t="s">
        <v>139</v>
      </c>
      <c r="D64" s="143">
        <f t="shared" si="3"/>
        <v>30000</v>
      </c>
      <c r="E64" s="143">
        <f>E65</f>
        <v>0</v>
      </c>
      <c r="F64" s="143">
        <f>F65</f>
        <v>0</v>
      </c>
      <c r="G64" s="143">
        <f>G65</f>
        <v>30000</v>
      </c>
    </row>
    <row r="65" spans="1:7" ht="16.5" thickBot="1" x14ac:dyDescent="0.3">
      <c r="A65" s="141" t="s">
        <v>316</v>
      </c>
      <c r="B65" s="131">
        <v>853</v>
      </c>
      <c r="C65" s="131">
        <v>290</v>
      </c>
      <c r="D65" s="143">
        <f t="shared" si="3"/>
        <v>30000</v>
      </c>
      <c r="E65" s="143">
        <v>0</v>
      </c>
      <c r="F65" s="143">
        <v>0</v>
      </c>
      <c r="G65" s="143">
        <f>ф.6!H33</f>
        <v>30000</v>
      </c>
    </row>
    <row r="66" spans="1:7" ht="16.5" thickBot="1" x14ac:dyDescent="0.3">
      <c r="A66" s="141"/>
      <c r="B66" s="131"/>
      <c r="C66" s="131"/>
      <c r="D66" s="143"/>
      <c r="E66" s="143"/>
      <c r="F66" s="143"/>
      <c r="G66" s="143"/>
    </row>
    <row r="67" spans="1:7" ht="16.5" thickBot="1" x14ac:dyDescent="0.3">
      <c r="A67" s="141" t="s">
        <v>325</v>
      </c>
      <c r="B67" s="131" t="s">
        <v>139</v>
      </c>
      <c r="C67" s="131">
        <v>500</v>
      </c>
      <c r="D67" s="168">
        <f>E67+F67+G67</f>
        <v>37368189.730000004</v>
      </c>
      <c r="E67" s="168">
        <f>E68</f>
        <v>29900000</v>
      </c>
      <c r="F67" s="168">
        <f>F68</f>
        <v>6200303.4199999999</v>
      </c>
      <c r="G67" s="168">
        <f>G68</f>
        <v>1267886.31</v>
      </c>
    </row>
    <row r="68" spans="1:7" ht="15" customHeight="1" x14ac:dyDescent="0.25">
      <c r="A68" s="142" t="s">
        <v>97</v>
      </c>
      <c r="B68" s="218" t="s">
        <v>139</v>
      </c>
      <c r="C68" s="218">
        <v>510</v>
      </c>
      <c r="D68" s="225">
        <f>E68+F68+G68</f>
        <v>37368189.730000004</v>
      </c>
      <c r="E68" s="225">
        <v>29900000</v>
      </c>
      <c r="F68" s="225">
        <v>6200303.4199999999</v>
      </c>
      <c r="G68" s="225">
        <v>1267886.31</v>
      </c>
    </row>
    <row r="69" spans="1:7" ht="15.75" customHeight="1" thickBot="1" x14ac:dyDescent="0.3">
      <c r="A69" s="141" t="s">
        <v>326</v>
      </c>
      <c r="B69" s="220"/>
      <c r="C69" s="220"/>
      <c r="D69" s="226"/>
      <c r="E69" s="226"/>
      <c r="F69" s="226"/>
      <c r="G69" s="226"/>
    </row>
    <row r="70" spans="1:7" ht="16.5" thickBot="1" x14ac:dyDescent="0.3">
      <c r="A70" s="141" t="s">
        <v>327</v>
      </c>
      <c r="B70" s="131" t="s">
        <v>139</v>
      </c>
      <c r="C70" s="131"/>
      <c r="D70" s="168"/>
      <c r="E70" s="168"/>
      <c r="F70" s="168"/>
      <c r="G70" s="168"/>
    </row>
    <row r="71" spans="1:7" ht="16.5" thickBot="1" x14ac:dyDescent="0.3">
      <c r="A71" s="141" t="s">
        <v>328</v>
      </c>
      <c r="B71" s="131" t="s">
        <v>139</v>
      </c>
      <c r="C71" s="131">
        <v>600</v>
      </c>
      <c r="D71" s="168">
        <f>E71+F71+G71</f>
        <v>32988520.84</v>
      </c>
      <c r="E71" s="168">
        <f>E72</f>
        <v>26140699.280000001</v>
      </c>
      <c r="F71" s="168">
        <f>F72</f>
        <v>5738968.5800000001</v>
      </c>
      <c r="G71" s="168">
        <f>G72</f>
        <v>1108852.98</v>
      </c>
    </row>
    <row r="72" spans="1:7" ht="15" customHeight="1" x14ac:dyDescent="0.25">
      <c r="A72" s="142" t="s">
        <v>97</v>
      </c>
      <c r="B72" s="218" t="s">
        <v>139</v>
      </c>
      <c r="C72" s="218">
        <v>610</v>
      </c>
      <c r="D72" s="225">
        <f>E72+F72+G72</f>
        <v>32988520.84</v>
      </c>
      <c r="E72" s="225">
        <v>26140699.280000001</v>
      </c>
      <c r="F72" s="225">
        <v>5738968.5800000001</v>
      </c>
      <c r="G72" s="225">
        <v>1108852.98</v>
      </c>
    </row>
    <row r="73" spans="1:7" ht="15.75" customHeight="1" thickBot="1" x14ac:dyDescent="0.3">
      <c r="A73" s="141" t="s">
        <v>335</v>
      </c>
      <c r="B73" s="220"/>
      <c r="C73" s="220"/>
      <c r="D73" s="226"/>
      <c r="E73" s="226"/>
      <c r="F73" s="226"/>
      <c r="G73" s="226"/>
    </row>
    <row r="74" spans="1:7" ht="16.5" thickBot="1" x14ac:dyDescent="0.3">
      <c r="A74" s="128" t="s">
        <v>329</v>
      </c>
      <c r="B74" s="131"/>
      <c r="C74" s="131"/>
      <c r="D74" s="168"/>
      <c r="E74" s="168"/>
      <c r="F74" s="168"/>
      <c r="G74" s="168"/>
    </row>
    <row r="75" spans="1:7" ht="32.25" customHeight="1" thickBot="1" x14ac:dyDescent="0.3">
      <c r="A75" s="128" t="s">
        <v>330</v>
      </c>
      <c r="B75" s="131" t="s">
        <v>139</v>
      </c>
      <c r="C75" s="131" t="s">
        <v>139</v>
      </c>
      <c r="D75" s="168"/>
      <c r="E75" s="168"/>
      <c r="F75" s="168"/>
      <c r="G75" s="168"/>
    </row>
  </sheetData>
  <mergeCells count="82">
    <mergeCell ref="G72:G73"/>
    <mergeCell ref="B68:B69"/>
    <mergeCell ref="C68:C69"/>
    <mergeCell ref="D68:D69"/>
    <mergeCell ref="E68:E69"/>
    <mergeCell ref="F68:F69"/>
    <mergeCell ref="G68:G69"/>
    <mergeCell ref="B72:B73"/>
    <mergeCell ref="C72:C73"/>
    <mergeCell ref="D72:D73"/>
    <mergeCell ref="E72:E73"/>
    <mergeCell ref="F72:F73"/>
    <mergeCell ref="G59:G60"/>
    <mergeCell ref="B55:B56"/>
    <mergeCell ref="C55:C56"/>
    <mergeCell ref="D55:D56"/>
    <mergeCell ref="E55:E56"/>
    <mergeCell ref="F55:F56"/>
    <mergeCell ref="G55:G56"/>
    <mergeCell ref="B59:B60"/>
    <mergeCell ref="C59:C60"/>
    <mergeCell ref="D59:D60"/>
    <mergeCell ref="E59:E60"/>
    <mergeCell ref="F59:F60"/>
    <mergeCell ref="G40:G41"/>
    <mergeCell ref="B38:B39"/>
    <mergeCell ref="C38:C39"/>
    <mergeCell ref="D38:D39"/>
    <mergeCell ref="E38:E39"/>
    <mergeCell ref="F38:F39"/>
    <mergeCell ref="G38:G39"/>
    <mergeCell ref="B40:B41"/>
    <mergeCell ref="C40:C41"/>
    <mergeCell ref="D40:D41"/>
    <mergeCell ref="E40:E41"/>
    <mergeCell ref="F40:F41"/>
    <mergeCell ref="G31:G32"/>
    <mergeCell ref="B29:B30"/>
    <mergeCell ref="C29:C30"/>
    <mergeCell ref="D29:D30"/>
    <mergeCell ref="E29:E30"/>
    <mergeCell ref="F29:F30"/>
    <mergeCell ref="G29:G30"/>
    <mergeCell ref="B31:B32"/>
    <mergeCell ref="C31:C32"/>
    <mergeCell ref="D31:D32"/>
    <mergeCell ref="E31:E32"/>
    <mergeCell ref="F31:F32"/>
    <mergeCell ref="F19:F20"/>
    <mergeCell ref="G19:G20"/>
    <mergeCell ref="B27:B28"/>
    <mergeCell ref="C27:C28"/>
    <mergeCell ref="D27:D28"/>
    <mergeCell ref="E27:E28"/>
    <mergeCell ref="F27:F28"/>
    <mergeCell ref="G27:G28"/>
    <mergeCell ref="E19:E20"/>
    <mergeCell ref="A16:A17"/>
    <mergeCell ref="A19:A20"/>
    <mergeCell ref="B19:B20"/>
    <mergeCell ref="C19:C20"/>
    <mergeCell ref="D19:D20"/>
    <mergeCell ref="D12:D13"/>
    <mergeCell ref="G12:G13"/>
    <mergeCell ref="B15:B17"/>
    <mergeCell ref="C15:C17"/>
    <mergeCell ref="D15:D17"/>
    <mergeCell ref="E15:E17"/>
    <mergeCell ref="F15:F17"/>
    <mergeCell ref="G15:G17"/>
    <mergeCell ref="A1:G1"/>
    <mergeCell ref="A2:G2"/>
    <mergeCell ref="A4:A9"/>
    <mergeCell ref="B4:C4"/>
    <mergeCell ref="D4:G4"/>
    <mergeCell ref="B5:B9"/>
    <mergeCell ref="C5:C9"/>
    <mergeCell ref="D5:D9"/>
    <mergeCell ref="E5:G6"/>
    <mergeCell ref="E7:E9"/>
    <mergeCell ref="F7:F9"/>
    <mergeCell ref="G7:G9"/>
  </mergeCells>
  <pageMargins left="0.19685039370078741" right="0.19685039370078741" top="0" bottom="0" header="0.51181102362204722" footer="0.51181102362204722"/>
  <pageSetup paperSize="9" scale="4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3"/>
  <sheetViews>
    <sheetView zoomScaleNormal="100" workbookViewId="0">
      <selection activeCell="D19" sqref="D19:D20"/>
    </sheetView>
  </sheetViews>
  <sheetFormatPr defaultRowHeight="15" x14ac:dyDescent="0.25"/>
  <cols>
    <col min="1" max="1" width="65.28515625" style="19" customWidth="1"/>
    <col min="2" max="2" width="17.7109375" style="19" customWidth="1"/>
    <col min="3" max="3" width="15.5703125" style="21" customWidth="1"/>
    <col min="4" max="4" width="27" style="19" customWidth="1"/>
    <col min="5" max="5" width="25.85546875" style="19" customWidth="1"/>
    <col min="6" max="6" width="26.7109375" style="19" customWidth="1"/>
    <col min="7" max="7" width="27" style="19" customWidth="1"/>
    <col min="8" max="8" width="10.7109375" style="19" customWidth="1"/>
    <col min="9" max="9" width="0" style="19" hidden="1" customWidth="1"/>
    <col min="10" max="10" width="14.140625" style="19" customWidth="1"/>
    <col min="11" max="11" width="13.85546875" style="19" customWidth="1"/>
    <col min="12" max="12" width="9.140625" style="19"/>
    <col min="13" max="13" width="14" style="19" customWidth="1"/>
    <col min="14" max="14" width="14.140625" style="19" customWidth="1"/>
    <col min="15" max="15" width="9.140625" style="19"/>
    <col min="16" max="16" width="14" style="19" customWidth="1"/>
    <col min="17" max="17" width="13.85546875" style="19" customWidth="1"/>
    <col min="18" max="16384" width="9.140625" style="19"/>
  </cols>
  <sheetData>
    <row r="1" spans="1:7" ht="18.75" x14ac:dyDescent="0.25">
      <c r="A1" s="201" t="s">
        <v>272</v>
      </c>
      <c r="B1" s="201"/>
      <c r="C1" s="201"/>
      <c r="D1" s="201"/>
      <c r="E1" s="201"/>
      <c r="F1" s="201"/>
      <c r="G1" s="201"/>
    </row>
    <row r="2" spans="1:7" ht="18.75" x14ac:dyDescent="0.25">
      <c r="A2" s="201" t="s">
        <v>331</v>
      </c>
      <c r="B2" s="201"/>
      <c r="C2" s="201"/>
      <c r="D2" s="201"/>
      <c r="E2" s="201"/>
      <c r="F2" s="201"/>
      <c r="G2" s="201"/>
    </row>
    <row r="3" spans="1:7" ht="15.75" thickBot="1" x14ac:dyDescent="0.3">
      <c r="A3" s="117"/>
      <c r="B3"/>
      <c r="C3"/>
      <c r="D3"/>
      <c r="E3"/>
      <c r="F3"/>
      <c r="G3"/>
    </row>
    <row r="4" spans="1:7" ht="16.5" customHeight="1" thickBot="1" x14ac:dyDescent="0.3">
      <c r="A4" s="204" t="s">
        <v>37</v>
      </c>
      <c r="B4" s="206" t="s">
        <v>274</v>
      </c>
      <c r="C4" s="207"/>
      <c r="D4" s="206" t="s">
        <v>275</v>
      </c>
      <c r="E4" s="208"/>
      <c r="F4" s="208"/>
      <c r="G4" s="207"/>
    </row>
    <row r="5" spans="1:7" ht="15" customHeight="1" x14ac:dyDescent="0.25">
      <c r="A5" s="205"/>
      <c r="B5" s="204" t="s">
        <v>276</v>
      </c>
      <c r="C5" s="204" t="s">
        <v>277</v>
      </c>
      <c r="D5" s="204" t="s">
        <v>278</v>
      </c>
      <c r="E5" s="210" t="s">
        <v>38</v>
      </c>
      <c r="F5" s="211"/>
      <c r="G5" s="212"/>
    </row>
    <row r="6" spans="1:7" ht="15.75" customHeight="1" thickBot="1" x14ac:dyDescent="0.3">
      <c r="A6" s="205"/>
      <c r="B6" s="205"/>
      <c r="C6" s="205"/>
      <c r="D6" s="205"/>
      <c r="E6" s="213"/>
      <c r="F6" s="214"/>
      <c r="G6" s="215"/>
    </row>
    <row r="7" spans="1:7" ht="15" customHeight="1" x14ac:dyDescent="0.25">
      <c r="A7" s="205"/>
      <c r="B7" s="205"/>
      <c r="C7" s="205"/>
      <c r="D7" s="205"/>
      <c r="E7" s="204" t="s">
        <v>279</v>
      </c>
      <c r="F7" s="204" t="s">
        <v>280</v>
      </c>
      <c r="G7" s="204" t="s">
        <v>281</v>
      </c>
    </row>
    <row r="8" spans="1:7" ht="15" customHeight="1" x14ac:dyDescent="0.25">
      <c r="A8" s="205"/>
      <c r="B8" s="205"/>
      <c r="C8" s="205"/>
      <c r="D8" s="205"/>
      <c r="E8" s="205"/>
      <c r="F8" s="205"/>
      <c r="G8" s="205"/>
    </row>
    <row r="9" spans="1:7" ht="90.75" customHeight="1" thickBot="1" x14ac:dyDescent="0.3">
      <c r="A9" s="205"/>
      <c r="B9" s="205"/>
      <c r="C9" s="205"/>
      <c r="D9" s="209"/>
      <c r="E9" s="205"/>
      <c r="F9" s="205"/>
      <c r="G9" s="205"/>
    </row>
    <row r="10" spans="1:7" ht="32.25" customHeight="1" thickBot="1" x14ac:dyDescent="0.3">
      <c r="A10" s="136" t="s">
        <v>282</v>
      </c>
      <c r="B10" s="137"/>
      <c r="C10" s="137"/>
      <c r="D10" s="144"/>
      <c r="E10" s="144"/>
      <c r="F10" s="144"/>
      <c r="G10" s="145"/>
    </row>
    <row r="11" spans="1:7" ht="16.5" thickBot="1" x14ac:dyDescent="0.3">
      <c r="A11" s="119" t="s">
        <v>283</v>
      </c>
      <c r="B11" s="151" t="s">
        <v>139</v>
      </c>
      <c r="C11" s="151"/>
      <c r="D11" s="169">
        <f>E11+F11+G11</f>
        <v>46458506</v>
      </c>
      <c r="E11" s="169">
        <f>E19</f>
        <v>37179370</v>
      </c>
      <c r="F11" s="169">
        <f>F22</f>
        <v>7988500</v>
      </c>
      <c r="G11" s="169">
        <f>SUM(G12:G14)</f>
        <v>1290636</v>
      </c>
    </row>
    <row r="12" spans="1:7" ht="15.75" x14ac:dyDescent="0.25">
      <c r="A12" s="138" t="s">
        <v>38</v>
      </c>
      <c r="B12" s="139"/>
      <c r="C12" s="139"/>
      <c r="D12" s="216">
        <f>G12</f>
        <v>1043028</v>
      </c>
      <c r="E12" s="146"/>
      <c r="F12" s="146"/>
      <c r="G12" s="216">
        <f>ф.6!I6</f>
        <v>1043028</v>
      </c>
    </row>
    <row r="13" spans="1:7" ht="16.5" thickBot="1" x14ac:dyDescent="0.3">
      <c r="A13" s="128" t="s">
        <v>284</v>
      </c>
      <c r="B13" s="131" t="s">
        <v>139</v>
      </c>
      <c r="C13" s="131">
        <v>120</v>
      </c>
      <c r="D13" s="217"/>
      <c r="E13" s="143" t="s">
        <v>139</v>
      </c>
      <c r="F13" s="143" t="s">
        <v>139</v>
      </c>
      <c r="G13" s="217"/>
    </row>
    <row r="14" spans="1:7" ht="16.5" thickBot="1" x14ac:dyDescent="0.3">
      <c r="A14" s="128" t="s">
        <v>285</v>
      </c>
      <c r="B14" s="131" t="s">
        <v>139</v>
      </c>
      <c r="C14" s="131">
        <v>130</v>
      </c>
      <c r="D14" s="143">
        <f>E14+F14+G14</f>
        <v>247608</v>
      </c>
      <c r="E14" s="143">
        <v>0</v>
      </c>
      <c r="F14" s="143">
        <v>0</v>
      </c>
      <c r="G14" s="143">
        <f>G15+G18</f>
        <v>247608</v>
      </c>
    </row>
    <row r="15" spans="1:7" ht="15.75" x14ac:dyDescent="0.25">
      <c r="A15" s="138" t="s">
        <v>286</v>
      </c>
      <c r="B15" s="218" t="s">
        <v>139</v>
      </c>
      <c r="C15" s="218">
        <v>130</v>
      </c>
      <c r="D15" s="216">
        <f>G15</f>
        <v>0</v>
      </c>
      <c r="E15" s="216" t="s">
        <v>139</v>
      </c>
      <c r="F15" s="216" t="s">
        <v>139</v>
      </c>
      <c r="G15" s="216">
        <v>0</v>
      </c>
    </row>
    <row r="16" spans="1:7" ht="15" customHeight="1" x14ac:dyDescent="0.25">
      <c r="A16" s="222" t="s">
        <v>287</v>
      </c>
      <c r="B16" s="219"/>
      <c r="C16" s="219"/>
      <c r="D16" s="221"/>
      <c r="E16" s="221"/>
      <c r="F16" s="221"/>
      <c r="G16" s="221"/>
    </row>
    <row r="17" spans="1:7" ht="67.5" customHeight="1" thickBot="1" x14ac:dyDescent="0.3">
      <c r="A17" s="223"/>
      <c r="B17" s="220"/>
      <c r="C17" s="220"/>
      <c r="D17" s="217"/>
      <c r="E17" s="217"/>
      <c r="F17" s="217"/>
      <c r="G17" s="217"/>
    </row>
    <row r="18" spans="1:7" ht="52.5" customHeight="1" thickBot="1" x14ac:dyDescent="0.3">
      <c r="A18" s="128" t="s">
        <v>288</v>
      </c>
      <c r="B18" s="131" t="s">
        <v>139</v>
      </c>
      <c r="C18" s="131">
        <v>130</v>
      </c>
      <c r="D18" s="143">
        <f>G18</f>
        <v>247608</v>
      </c>
      <c r="E18" s="143" t="s">
        <v>139</v>
      </c>
      <c r="F18" s="143" t="s">
        <v>139</v>
      </c>
      <c r="G18" s="143">
        <f>ф.5!I7</f>
        <v>247608</v>
      </c>
    </row>
    <row r="19" spans="1:7" ht="15" customHeight="1" x14ac:dyDescent="0.25">
      <c r="A19" s="224" t="s">
        <v>289</v>
      </c>
      <c r="B19" s="218" t="s">
        <v>139</v>
      </c>
      <c r="C19" s="218">
        <v>130</v>
      </c>
      <c r="D19" s="216">
        <f>E19</f>
        <v>37179370</v>
      </c>
      <c r="E19" s="216">
        <f>ф.3!G8</f>
        <v>37179370</v>
      </c>
      <c r="F19" s="216" t="s">
        <v>139</v>
      </c>
      <c r="G19" s="216" t="s">
        <v>139</v>
      </c>
    </row>
    <row r="20" spans="1:7" ht="15.75" customHeight="1" thickBot="1" x14ac:dyDescent="0.3">
      <c r="A20" s="223"/>
      <c r="B20" s="220"/>
      <c r="C20" s="220"/>
      <c r="D20" s="217"/>
      <c r="E20" s="217"/>
      <c r="F20" s="217"/>
      <c r="G20" s="217"/>
    </row>
    <row r="21" spans="1:7" ht="32.25" thickBot="1" x14ac:dyDescent="0.3">
      <c r="A21" s="128" t="s">
        <v>290</v>
      </c>
      <c r="B21" s="131" t="s">
        <v>291</v>
      </c>
      <c r="C21" s="131">
        <v>140</v>
      </c>
      <c r="D21" s="143">
        <f>G21</f>
        <v>0</v>
      </c>
      <c r="E21" s="143" t="s">
        <v>139</v>
      </c>
      <c r="F21" s="143" t="s">
        <v>139</v>
      </c>
      <c r="G21" s="143">
        <v>0</v>
      </c>
    </row>
    <row r="22" spans="1:7" ht="32.25" customHeight="1" thickBot="1" x14ac:dyDescent="0.3">
      <c r="A22" s="128" t="s">
        <v>292</v>
      </c>
      <c r="B22" s="131" t="s">
        <v>139</v>
      </c>
      <c r="C22" s="131">
        <v>180</v>
      </c>
      <c r="D22" s="143">
        <f>F22</f>
        <v>7988500</v>
      </c>
      <c r="E22" s="143" t="s">
        <v>139</v>
      </c>
      <c r="F22" s="143">
        <f>ф.4!I9+ф.4!I23+'ф.4 (2)'!I9+'ф.4 (2)'!I24+'ф.4 (3)'!I9+'ф.4 (4)'!I9+'ф.4 (4)'!I29+'ф.4 (5)'!I9+'ф.4 (5)'!I23</f>
        <v>7988500</v>
      </c>
      <c r="G22" s="143" t="s">
        <v>139</v>
      </c>
    </row>
    <row r="23" spans="1:7" ht="16.5" thickBot="1" x14ac:dyDescent="0.3">
      <c r="A23" s="128" t="s">
        <v>293</v>
      </c>
      <c r="B23" s="131" t="s">
        <v>139</v>
      </c>
      <c r="C23" s="131">
        <v>180</v>
      </c>
      <c r="D23" s="143">
        <f>G23</f>
        <v>0</v>
      </c>
      <c r="E23" s="143" t="s">
        <v>139</v>
      </c>
      <c r="F23" s="143" t="s">
        <v>139</v>
      </c>
      <c r="G23" s="143">
        <v>0</v>
      </c>
    </row>
    <row r="24" spans="1:7" ht="16.5" thickBot="1" x14ac:dyDescent="0.3">
      <c r="A24" s="128" t="s">
        <v>294</v>
      </c>
      <c r="B24" s="131" t="s">
        <v>139</v>
      </c>
      <c r="C24" s="131" t="s">
        <v>139</v>
      </c>
      <c r="D24" s="143">
        <f>G24</f>
        <v>0</v>
      </c>
      <c r="E24" s="143" t="s">
        <v>139</v>
      </c>
      <c r="F24" s="143" t="s">
        <v>139</v>
      </c>
      <c r="G24" s="143">
        <v>0</v>
      </c>
    </row>
    <row r="25" spans="1:7" ht="16.5" thickBot="1" x14ac:dyDescent="0.3">
      <c r="A25" s="128"/>
      <c r="B25" s="131"/>
      <c r="C25" s="131"/>
      <c r="D25" s="143"/>
      <c r="E25" s="143"/>
      <c r="F25" s="143"/>
      <c r="G25" s="143"/>
    </row>
    <row r="26" spans="1:7" ht="16.5" thickBot="1" x14ac:dyDescent="0.3">
      <c r="A26" s="119" t="s">
        <v>295</v>
      </c>
      <c r="B26" s="151" t="s">
        <v>139</v>
      </c>
      <c r="C26" s="151" t="s">
        <v>139</v>
      </c>
      <c r="D26" s="169">
        <f>E26+F26+G26</f>
        <v>46458506</v>
      </c>
      <c r="E26" s="169">
        <f>E27+E35+E52+E56</f>
        <v>37179370</v>
      </c>
      <c r="F26" s="169">
        <f>F27+F35+F52+F56</f>
        <v>7988500</v>
      </c>
      <c r="G26" s="169">
        <f>G27+G35+G52+G56</f>
        <v>1290636</v>
      </c>
    </row>
    <row r="27" spans="1:7" ht="31.5" x14ac:dyDescent="0.25">
      <c r="A27" s="138" t="s">
        <v>296</v>
      </c>
      <c r="B27" s="218">
        <v>100</v>
      </c>
      <c r="C27" s="218" t="s">
        <v>139</v>
      </c>
      <c r="D27" s="216">
        <f>E27+F27+G27</f>
        <v>34406500</v>
      </c>
      <c r="E27" s="216">
        <f>E29</f>
        <v>33129000</v>
      </c>
      <c r="F27" s="216">
        <f>F29</f>
        <v>1260000</v>
      </c>
      <c r="G27" s="216">
        <f>G29</f>
        <v>17500</v>
      </c>
    </row>
    <row r="28" spans="1:7" ht="16.5" thickBot="1" x14ac:dyDescent="0.3">
      <c r="A28" s="128" t="s">
        <v>297</v>
      </c>
      <c r="B28" s="220"/>
      <c r="C28" s="220"/>
      <c r="D28" s="217"/>
      <c r="E28" s="217"/>
      <c r="F28" s="217"/>
      <c r="G28" s="217"/>
    </row>
    <row r="29" spans="1:7" ht="15.75" x14ac:dyDescent="0.25">
      <c r="A29" s="138" t="s">
        <v>298</v>
      </c>
      <c r="B29" s="218">
        <v>110</v>
      </c>
      <c r="C29" s="218">
        <v>210</v>
      </c>
      <c r="D29" s="216">
        <f>E29+F29+G29</f>
        <v>34406500</v>
      </c>
      <c r="E29" s="216">
        <f>SUM(E31:E34)</f>
        <v>33129000</v>
      </c>
      <c r="F29" s="216">
        <f>SUM(F31:F34)</f>
        <v>1260000</v>
      </c>
      <c r="G29" s="216">
        <f>SUM(G31:G34)</f>
        <v>17500</v>
      </c>
    </row>
    <row r="30" spans="1:7" ht="32.25" customHeight="1" thickBot="1" x14ac:dyDescent="0.3">
      <c r="A30" s="128" t="s">
        <v>299</v>
      </c>
      <c r="B30" s="220"/>
      <c r="C30" s="220"/>
      <c r="D30" s="217"/>
      <c r="E30" s="217"/>
      <c r="F30" s="217"/>
      <c r="G30" s="217"/>
    </row>
    <row r="31" spans="1:7" ht="15.75" x14ac:dyDescent="0.25">
      <c r="A31" s="138" t="s">
        <v>286</v>
      </c>
      <c r="B31" s="218">
        <v>111</v>
      </c>
      <c r="C31" s="218">
        <v>211</v>
      </c>
      <c r="D31" s="216">
        <f>E31+F31+G31</f>
        <v>25459000</v>
      </c>
      <c r="E31" s="216">
        <f>ф.3!G11</f>
        <v>25459000</v>
      </c>
      <c r="F31" s="216">
        <v>0</v>
      </c>
      <c r="G31" s="216">
        <v>0</v>
      </c>
    </row>
    <row r="32" spans="1:7" ht="16.5" thickBot="1" x14ac:dyDescent="0.3">
      <c r="A32" s="128" t="s">
        <v>300</v>
      </c>
      <c r="B32" s="220"/>
      <c r="C32" s="220"/>
      <c r="D32" s="217"/>
      <c r="E32" s="217"/>
      <c r="F32" s="217"/>
      <c r="G32" s="217"/>
    </row>
    <row r="33" spans="1:7" ht="39.75" customHeight="1" thickBot="1" x14ac:dyDescent="0.3">
      <c r="A33" s="140" t="s">
        <v>301</v>
      </c>
      <c r="B33" s="131">
        <v>112</v>
      </c>
      <c r="C33" s="131">
        <v>212</v>
      </c>
      <c r="D33" s="143">
        <f>E33+F33+G33</f>
        <v>1259500</v>
      </c>
      <c r="E33" s="143">
        <f>ф.3!G12</f>
        <v>32000</v>
      </c>
      <c r="F33" s="143">
        <f>ф.4!I12+ф.4!I26</f>
        <v>1210000</v>
      </c>
      <c r="G33" s="143">
        <f>ф.6!I10</f>
        <v>17500</v>
      </c>
    </row>
    <row r="34" spans="1:7" ht="54" customHeight="1" thickBot="1" x14ac:dyDescent="0.3">
      <c r="A34" s="140" t="s">
        <v>302</v>
      </c>
      <c r="B34" s="131">
        <v>119</v>
      </c>
      <c r="C34" s="131">
        <v>213</v>
      </c>
      <c r="D34" s="143">
        <f>E34+F34+G34</f>
        <v>7688000</v>
      </c>
      <c r="E34" s="143">
        <f>ф.3!G13</f>
        <v>7638000</v>
      </c>
      <c r="F34" s="143">
        <f>ф.4!I27</f>
        <v>50000</v>
      </c>
      <c r="G34" s="143">
        <v>0</v>
      </c>
    </row>
    <row r="35" spans="1:7" ht="39.75" customHeight="1" thickBot="1" x14ac:dyDescent="0.3">
      <c r="A35" s="128" t="s">
        <v>303</v>
      </c>
      <c r="B35" s="131">
        <v>200</v>
      </c>
      <c r="C35" s="131" t="s">
        <v>139</v>
      </c>
      <c r="D35" s="143">
        <f>E35+F35+G35</f>
        <v>11527006</v>
      </c>
      <c r="E35" s="143">
        <f>E36</f>
        <v>3659370</v>
      </c>
      <c r="F35" s="143">
        <f>F36</f>
        <v>6618500</v>
      </c>
      <c r="G35" s="143">
        <f>G36</f>
        <v>1249136</v>
      </c>
    </row>
    <row r="36" spans="1:7" ht="15.75" x14ac:dyDescent="0.25">
      <c r="A36" s="138" t="s">
        <v>304</v>
      </c>
      <c r="B36" s="218">
        <v>240</v>
      </c>
      <c r="C36" s="218" t="s">
        <v>139</v>
      </c>
      <c r="D36" s="216">
        <f>E36+F36+G36</f>
        <v>11527006</v>
      </c>
      <c r="E36" s="216">
        <f>E38+E42</f>
        <v>3659370</v>
      </c>
      <c r="F36" s="216">
        <f>F38+F42</f>
        <v>6618500</v>
      </c>
      <c r="G36" s="216">
        <f>G38+G42</f>
        <v>1249136</v>
      </c>
    </row>
    <row r="37" spans="1:7" ht="48" customHeight="1" thickBot="1" x14ac:dyDescent="0.3">
      <c r="A37" s="128" t="s">
        <v>305</v>
      </c>
      <c r="B37" s="220"/>
      <c r="C37" s="220"/>
      <c r="D37" s="217"/>
      <c r="E37" s="217"/>
      <c r="F37" s="217"/>
      <c r="G37" s="217"/>
    </row>
    <row r="38" spans="1:7" ht="15.75" x14ac:dyDescent="0.25">
      <c r="A38" s="138" t="s">
        <v>286</v>
      </c>
      <c r="B38" s="218">
        <v>243</v>
      </c>
      <c r="C38" s="218" t="s">
        <v>139</v>
      </c>
      <c r="D38" s="216">
        <f>E38+F38+G38</f>
        <v>0</v>
      </c>
      <c r="E38" s="216">
        <f>SUM(E40:E41)</f>
        <v>0</v>
      </c>
      <c r="F38" s="216">
        <f>SUM(F40:F41)</f>
        <v>0</v>
      </c>
      <c r="G38" s="216">
        <f>SUM(G40:G41)</f>
        <v>0</v>
      </c>
    </row>
    <row r="39" spans="1:7" ht="39" customHeight="1" thickBot="1" x14ac:dyDescent="0.3">
      <c r="A39" s="128" t="s">
        <v>306</v>
      </c>
      <c r="B39" s="220"/>
      <c r="C39" s="220"/>
      <c r="D39" s="217"/>
      <c r="E39" s="217"/>
      <c r="F39" s="217"/>
      <c r="G39" s="217"/>
    </row>
    <row r="40" spans="1:7" ht="17.25" customHeight="1" thickBot="1" x14ac:dyDescent="0.3">
      <c r="A40" s="128" t="s">
        <v>307</v>
      </c>
      <c r="B40" s="131" t="s">
        <v>308</v>
      </c>
      <c r="C40" s="131">
        <v>225</v>
      </c>
      <c r="D40" s="143">
        <f>E40+F40+G40</f>
        <v>0</v>
      </c>
      <c r="E40" s="143">
        <v>0</v>
      </c>
      <c r="F40" s="143">
        <v>0</v>
      </c>
      <c r="G40" s="143">
        <v>0</v>
      </c>
    </row>
    <row r="41" spans="1:7" ht="16.5" thickBot="1" x14ac:dyDescent="0.3">
      <c r="A41" s="128" t="s">
        <v>309</v>
      </c>
      <c r="B41" s="131" t="s">
        <v>308</v>
      </c>
      <c r="C41" s="131">
        <v>226</v>
      </c>
      <c r="D41" s="143">
        <f>E41+F41+G41</f>
        <v>0</v>
      </c>
      <c r="E41" s="143">
        <v>0</v>
      </c>
      <c r="F41" s="143">
        <v>0</v>
      </c>
      <c r="G41" s="143">
        <v>0</v>
      </c>
    </row>
    <row r="42" spans="1:7" ht="38.25" customHeight="1" thickBot="1" x14ac:dyDescent="0.3">
      <c r="A42" s="140" t="s">
        <v>310</v>
      </c>
      <c r="B42" s="131">
        <v>244</v>
      </c>
      <c r="C42" s="131" t="s">
        <v>139</v>
      </c>
      <c r="D42" s="143">
        <f>E42+F42+G42</f>
        <v>11527006</v>
      </c>
      <c r="E42" s="143">
        <f>SUM(E43:E51)</f>
        <v>3659370</v>
      </c>
      <c r="F42" s="143">
        <f>SUM(F43:F51)</f>
        <v>6618500</v>
      </c>
      <c r="G42" s="143">
        <f>SUM(G43:G51)</f>
        <v>1249136</v>
      </c>
    </row>
    <row r="43" spans="1:7" ht="16.5" thickBot="1" x14ac:dyDescent="0.3">
      <c r="A43" s="128" t="s">
        <v>311</v>
      </c>
      <c r="B43" s="131">
        <v>244</v>
      </c>
      <c r="C43" s="131">
        <v>221</v>
      </c>
      <c r="D43" s="143">
        <f t="shared" ref="D43:D51" si="0">E43+F43+G43</f>
        <v>312000</v>
      </c>
      <c r="E43" s="143">
        <f>ф.3!G16</f>
        <v>305000</v>
      </c>
      <c r="F43" s="143">
        <v>0</v>
      </c>
      <c r="G43" s="143">
        <f>ф.5!I15+ф.6!I14</f>
        <v>7000</v>
      </c>
    </row>
    <row r="44" spans="1:7" ht="16.5" thickBot="1" x14ac:dyDescent="0.3">
      <c r="A44" s="128" t="s">
        <v>312</v>
      </c>
      <c r="B44" s="131">
        <v>244</v>
      </c>
      <c r="C44" s="131">
        <v>222</v>
      </c>
      <c r="D44" s="143">
        <f t="shared" si="0"/>
        <v>159000</v>
      </c>
      <c r="E44" s="143">
        <f>ф.3!G17</f>
        <v>159000</v>
      </c>
      <c r="F44" s="143">
        <v>0</v>
      </c>
      <c r="G44" s="143">
        <f>ф.5!I16+ф.6!I15</f>
        <v>0</v>
      </c>
    </row>
    <row r="45" spans="1:7" ht="16.5" thickBot="1" x14ac:dyDescent="0.3">
      <c r="A45" s="128" t="s">
        <v>313</v>
      </c>
      <c r="B45" s="131">
        <v>244</v>
      </c>
      <c r="C45" s="131">
        <v>223</v>
      </c>
      <c r="D45" s="143">
        <f t="shared" si="0"/>
        <v>1382395</v>
      </c>
      <c r="E45" s="143">
        <f>ф.3!G18</f>
        <v>1115070</v>
      </c>
      <c r="F45" s="143">
        <v>0</v>
      </c>
      <c r="G45" s="143">
        <f>ф.5!I17+ф.6!I16</f>
        <v>267325</v>
      </c>
    </row>
    <row r="46" spans="1:7" ht="18" customHeight="1" thickBot="1" x14ac:dyDescent="0.3">
      <c r="A46" s="128" t="s">
        <v>314</v>
      </c>
      <c r="B46" s="131">
        <v>244</v>
      </c>
      <c r="C46" s="131">
        <v>224</v>
      </c>
      <c r="D46" s="143">
        <f t="shared" si="0"/>
        <v>0</v>
      </c>
      <c r="E46" s="143">
        <f>ф.3!G19</f>
        <v>0</v>
      </c>
      <c r="F46" s="143">
        <v>0</v>
      </c>
      <c r="G46" s="143">
        <f>ф.5!I18+ф.6!I17</f>
        <v>0</v>
      </c>
    </row>
    <row r="47" spans="1:7" ht="18.75" customHeight="1" thickBot="1" x14ac:dyDescent="0.3">
      <c r="A47" s="128" t="s">
        <v>307</v>
      </c>
      <c r="B47" s="131" t="s">
        <v>315</v>
      </c>
      <c r="C47" s="131">
        <v>225</v>
      </c>
      <c r="D47" s="143">
        <f t="shared" si="0"/>
        <v>1118470</v>
      </c>
      <c r="E47" s="143">
        <f>ф.3!G20</f>
        <v>649000</v>
      </c>
      <c r="F47" s="143">
        <f>'ф.4 (2)'!I13+'ф.4 (5)'!I27</f>
        <v>235000</v>
      </c>
      <c r="G47" s="143">
        <f>ф.5!I19+ф.6!I18</f>
        <v>234470</v>
      </c>
    </row>
    <row r="48" spans="1:7" ht="16.5" thickBot="1" x14ac:dyDescent="0.3">
      <c r="A48" s="128" t="s">
        <v>309</v>
      </c>
      <c r="B48" s="131" t="s">
        <v>315</v>
      </c>
      <c r="C48" s="131">
        <v>226</v>
      </c>
      <c r="D48" s="143">
        <f t="shared" si="0"/>
        <v>2632713</v>
      </c>
      <c r="E48" s="143">
        <f>ф.3!G21</f>
        <v>906300</v>
      </c>
      <c r="F48" s="143">
        <f>'ф.4 (2)'!I14+'ф.4 (2)'!I28+'ф.4 (3)'!I15+'ф.4 (4)'!I13+'ф.4 (4)'!I35+'ф.4 (5)'!I13+'ф.4 (5)'!I28</f>
        <v>1389300</v>
      </c>
      <c r="G48" s="143">
        <f>ф.5!I20+ф.6!I19</f>
        <v>337113</v>
      </c>
    </row>
    <row r="49" spans="1:7" ht="16.5" thickBot="1" x14ac:dyDescent="0.3">
      <c r="A49" s="128" t="s">
        <v>316</v>
      </c>
      <c r="B49" s="131">
        <v>244</v>
      </c>
      <c r="C49" s="131">
        <v>290</v>
      </c>
      <c r="D49" s="143">
        <f t="shared" si="0"/>
        <v>4490280</v>
      </c>
      <c r="E49" s="143">
        <f>ф.3!G22</f>
        <v>0</v>
      </c>
      <c r="F49" s="143">
        <f>'ф.4 (2)'!I29+'ф.4 (3)'!I16+'ф.4 (4)'!I14+'ф.4 (4)'!I36</f>
        <v>4490280</v>
      </c>
      <c r="G49" s="143">
        <f>ф.5!I21+ф.6!I20</f>
        <v>0</v>
      </c>
    </row>
    <row r="50" spans="1:7" ht="16.5" thickBot="1" x14ac:dyDescent="0.3">
      <c r="A50" s="128" t="s">
        <v>317</v>
      </c>
      <c r="B50" s="131">
        <v>244</v>
      </c>
      <c r="C50" s="131">
        <v>310</v>
      </c>
      <c r="D50" s="143">
        <f t="shared" si="0"/>
        <v>215828</v>
      </c>
      <c r="E50" s="143">
        <f>ф.3!G24</f>
        <v>0</v>
      </c>
      <c r="F50" s="143">
        <v>0</v>
      </c>
      <c r="G50" s="143">
        <f>ф.5!I23+ф.6!I22</f>
        <v>215828</v>
      </c>
    </row>
    <row r="51" spans="1:7" ht="18.75" customHeight="1" thickBot="1" x14ac:dyDescent="0.3">
      <c r="A51" s="128" t="s">
        <v>318</v>
      </c>
      <c r="B51" s="131">
        <v>244</v>
      </c>
      <c r="C51" s="131">
        <v>340</v>
      </c>
      <c r="D51" s="143">
        <f t="shared" si="0"/>
        <v>1216320</v>
      </c>
      <c r="E51" s="143">
        <f>ф.3!G25</f>
        <v>525000</v>
      </c>
      <c r="F51" s="143">
        <f>'ф.4 (2)'!I32+'ф.4 (3)'!I19+'ф.4 (4)'!I17+'ф.4 (4)'!I39</f>
        <v>503920</v>
      </c>
      <c r="G51" s="143">
        <f>ф.5!I24+ф.6!I23</f>
        <v>187400</v>
      </c>
    </row>
    <row r="52" spans="1:7" ht="23.25" customHeight="1" thickBot="1" x14ac:dyDescent="0.3">
      <c r="A52" s="141" t="s">
        <v>319</v>
      </c>
      <c r="B52" s="131">
        <v>300</v>
      </c>
      <c r="C52" s="131" t="s">
        <v>139</v>
      </c>
      <c r="D52" s="143">
        <f>E52+F52+G52</f>
        <v>110000</v>
      </c>
      <c r="E52" s="143">
        <f>E53</f>
        <v>0</v>
      </c>
      <c r="F52" s="143">
        <f>F53</f>
        <v>110000</v>
      </c>
      <c r="G52" s="143">
        <f>G53</f>
        <v>0</v>
      </c>
    </row>
    <row r="53" spans="1:7" ht="15" customHeight="1" x14ac:dyDescent="0.25">
      <c r="A53" s="142" t="s">
        <v>304</v>
      </c>
      <c r="B53" s="218">
        <v>350</v>
      </c>
      <c r="C53" s="218" t="s">
        <v>139</v>
      </c>
      <c r="D53" s="216">
        <f>E53+F53+G53</f>
        <v>110000</v>
      </c>
      <c r="E53" s="216">
        <f>E55</f>
        <v>0</v>
      </c>
      <c r="F53" s="216">
        <f>F55</f>
        <v>110000</v>
      </c>
      <c r="G53" s="216">
        <v>0</v>
      </c>
    </row>
    <row r="54" spans="1:7" ht="15.75" customHeight="1" thickBot="1" x14ac:dyDescent="0.3">
      <c r="A54" s="141" t="s">
        <v>320</v>
      </c>
      <c r="B54" s="220"/>
      <c r="C54" s="220"/>
      <c r="D54" s="217"/>
      <c r="E54" s="217"/>
      <c r="F54" s="217"/>
      <c r="G54" s="217"/>
    </row>
    <row r="55" spans="1:7" ht="16.5" thickBot="1" x14ac:dyDescent="0.3">
      <c r="A55" s="141" t="s">
        <v>316</v>
      </c>
      <c r="B55" s="131">
        <v>350</v>
      </c>
      <c r="C55" s="131">
        <v>290</v>
      </c>
      <c r="D55" s="143">
        <f>E55+F55+G55</f>
        <v>110000</v>
      </c>
      <c r="E55" s="143">
        <v>0</v>
      </c>
      <c r="F55" s="143">
        <f>'ф.4 (2)'!I34+'ф.4 (3)'!I25+'ф.4 (4)'!I19+'ф.4 (4)'!I41</f>
        <v>110000</v>
      </c>
      <c r="G55" s="143">
        <f>ф.6!I29</f>
        <v>0</v>
      </c>
    </row>
    <row r="56" spans="1:7" ht="16.5" thickBot="1" x14ac:dyDescent="0.3">
      <c r="A56" s="141" t="s">
        <v>321</v>
      </c>
      <c r="B56" s="131">
        <v>800</v>
      </c>
      <c r="C56" s="131" t="s">
        <v>139</v>
      </c>
      <c r="D56" s="143">
        <f>E56+F56+G56</f>
        <v>415000</v>
      </c>
      <c r="E56" s="143">
        <f>SUM(E57+E60+E62)</f>
        <v>391000</v>
      </c>
      <c r="F56" s="143">
        <f>F57+F60+F62</f>
        <v>0</v>
      </c>
      <c r="G56" s="143">
        <f>G57+G60+G62</f>
        <v>24000</v>
      </c>
    </row>
    <row r="57" spans="1:7" ht="15" customHeight="1" x14ac:dyDescent="0.25">
      <c r="A57" s="142" t="s">
        <v>304</v>
      </c>
      <c r="B57" s="218">
        <v>851</v>
      </c>
      <c r="C57" s="218" t="s">
        <v>139</v>
      </c>
      <c r="D57" s="216">
        <f>E57+F57+G57</f>
        <v>381000</v>
      </c>
      <c r="E57" s="216">
        <f>E59</f>
        <v>381000</v>
      </c>
      <c r="F57" s="216">
        <f>F59</f>
        <v>0</v>
      </c>
      <c r="G57" s="216">
        <f>G59</f>
        <v>0</v>
      </c>
    </row>
    <row r="58" spans="1:7" ht="15.75" customHeight="1" thickBot="1" x14ac:dyDescent="0.3">
      <c r="A58" s="141" t="s">
        <v>322</v>
      </c>
      <c r="B58" s="220"/>
      <c r="C58" s="220"/>
      <c r="D58" s="217"/>
      <c r="E58" s="217"/>
      <c r="F58" s="217"/>
      <c r="G58" s="217"/>
    </row>
    <row r="59" spans="1:7" ht="16.5" thickBot="1" x14ac:dyDescent="0.3">
      <c r="A59" s="141" t="s">
        <v>316</v>
      </c>
      <c r="B59" s="131">
        <v>851</v>
      </c>
      <c r="C59" s="131">
        <v>290</v>
      </c>
      <c r="D59" s="143">
        <f>E59+F59+G59</f>
        <v>381000</v>
      </c>
      <c r="E59" s="143">
        <f>ф.3!G31</f>
        <v>381000</v>
      </c>
      <c r="F59" s="143">
        <v>0</v>
      </c>
      <c r="G59" s="143">
        <f>ф.5!I30+ф.6!I31</f>
        <v>0</v>
      </c>
    </row>
    <row r="60" spans="1:7" ht="16.5" thickBot="1" x14ac:dyDescent="0.3">
      <c r="A60" s="141" t="s">
        <v>323</v>
      </c>
      <c r="B60" s="131">
        <v>852</v>
      </c>
      <c r="C60" s="131" t="s">
        <v>139</v>
      </c>
      <c r="D60" s="143">
        <f t="shared" ref="D60:D63" si="1">E60+F60+G60</f>
        <v>34000</v>
      </c>
      <c r="E60" s="143">
        <f>E61</f>
        <v>10000</v>
      </c>
      <c r="F60" s="143">
        <f>F61</f>
        <v>0</v>
      </c>
      <c r="G60" s="143">
        <f>G61</f>
        <v>24000</v>
      </c>
    </row>
    <row r="61" spans="1:7" ht="16.5" thickBot="1" x14ac:dyDescent="0.3">
      <c r="A61" s="141" t="s">
        <v>316</v>
      </c>
      <c r="B61" s="131">
        <v>852</v>
      </c>
      <c r="C61" s="131">
        <v>290</v>
      </c>
      <c r="D61" s="143">
        <f t="shared" si="1"/>
        <v>34000</v>
      </c>
      <c r="E61" s="143">
        <f>ф.3!G32</f>
        <v>10000</v>
      </c>
      <c r="F61" s="143">
        <v>0</v>
      </c>
      <c r="G61" s="143">
        <f>ф.5!I31+ф.6!I32</f>
        <v>24000</v>
      </c>
    </row>
    <row r="62" spans="1:7" ht="16.5" thickBot="1" x14ac:dyDescent="0.3">
      <c r="A62" s="141" t="s">
        <v>324</v>
      </c>
      <c r="B62" s="131">
        <v>853</v>
      </c>
      <c r="C62" s="131" t="s">
        <v>139</v>
      </c>
      <c r="D62" s="143">
        <f t="shared" si="1"/>
        <v>0</v>
      </c>
      <c r="E62" s="143">
        <f>E63</f>
        <v>0</v>
      </c>
      <c r="F62" s="143">
        <f>F63</f>
        <v>0</v>
      </c>
      <c r="G62" s="143">
        <f>G63</f>
        <v>0</v>
      </c>
    </row>
    <row r="63" spans="1:7" ht="16.5" thickBot="1" x14ac:dyDescent="0.3">
      <c r="A63" s="141" t="s">
        <v>316</v>
      </c>
      <c r="B63" s="131">
        <v>853</v>
      </c>
      <c r="C63" s="131">
        <v>290</v>
      </c>
      <c r="D63" s="143">
        <f t="shared" si="1"/>
        <v>0</v>
      </c>
      <c r="E63" s="143">
        <v>0</v>
      </c>
      <c r="F63" s="143">
        <v>0</v>
      </c>
      <c r="G63" s="143">
        <f>ф.6!I33</f>
        <v>0</v>
      </c>
    </row>
    <row r="64" spans="1:7" ht="16.5" thickBot="1" x14ac:dyDescent="0.3">
      <c r="A64" s="141"/>
      <c r="B64" s="131"/>
      <c r="C64" s="131"/>
      <c r="D64" s="143"/>
      <c r="E64" s="143"/>
      <c r="F64" s="143"/>
      <c r="G64" s="143"/>
    </row>
    <row r="65" spans="1:7" ht="16.5" thickBot="1" x14ac:dyDescent="0.3">
      <c r="A65" s="141" t="s">
        <v>325</v>
      </c>
      <c r="B65" s="131" t="s">
        <v>139</v>
      </c>
      <c r="C65" s="131">
        <v>500</v>
      </c>
      <c r="D65" s="143"/>
      <c r="E65" s="143"/>
      <c r="F65" s="143"/>
      <c r="G65" s="143"/>
    </row>
    <row r="66" spans="1:7" ht="15" customHeight="1" x14ac:dyDescent="0.25">
      <c r="A66" s="142" t="s">
        <v>97</v>
      </c>
      <c r="B66" s="218" t="s">
        <v>139</v>
      </c>
      <c r="C66" s="218">
        <v>510</v>
      </c>
      <c r="D66" s="216"/>
      <c r="E66" s="216"/>
      <c r="F66" s="216"/>
      <c r="G66" s="216"/>
    </row>
    <row r="67" spans="1:7" ht="15.75" customHeight="1" thickBot="1" x14ac:dyDescent="0.3">
      <c r="A67" s="141" t="s">
        <v>326</v>
      </c>
      <c r="B67" s="220"/>
      <c r="C67" s="220"/>
      <c r="D67" s="217"/>
      <c r="E67" s="217"/>
      <c r="F67" s="217"/>
      <c r="G67" s="217"/>
    </row>
    <row r="68" spans="1:7" ht="16.5" thickBot="1" x14ac:dyDescent="0.3">
      <c r="A68" s="141" t="s">
        <v>327</v>
      </c>
      <c r="B68" s="131" t="s">
        <v>139</v>
      </c>
      <c r="C68" s="131"/>
      <c r="D68" s="143"/>
      <c r="E68" s="143"/>
      <c r="F68" s="143"/>
      <c r="G68" s="143"/>
    </row>
    <row r="69" spans="1:7" ht="16.5" thickBot="1" x14ac:dyDescent="0.3">
      <c r="A69" s="141" t="s">
        <v>328</v>
      </c>
      <c r="B69" s="131" t="s">
        <v>139</v>
      </c>
      <c r="C69" s="131">
        <v>600</v>
      </c>
      <c r="D69" s="143"/>
      <c r="E69" s="143"/>
      <c r="F69" s="143"/>
      <c r="G69" s="143"/>
    </row>
    <row r="70" spans="1:7" ht="15" customHeight="1" x14ac:dyDescent="0.25">
      <c r="A70" s="142" t="s">
        <v>97</v>
      </c>
      <c r="B70" s="218" t="s">
        <v>139</v>
      </c>
      <c r="C70" s="218">
        <v>610</v>
      </c>
      <c r="D70" s="216"/>
      <c r="E70" s="216"/>
      <c r="F70" s="216"/>
      <c r="G70" s="216"/>
    </row>
    <row r="71" spans="1:7" ht="15.75" customHeight="1" thickBot="1" x14ac:dyDescent="0.3">
      <c r="A71" s="141" t="s">
        <v>326</v>
      </c>
      <c r="B71" s="220"/>
      <c r="C71" s="220"/>
      <c r="D71" s="217"/>
      <c r="E71" s="217"/>
      <c r="F71" s="217"/>
      <c r="G71" s="217"/>
    </row>
    <row r="72" spans="1:7" ht="16.5" thickBot="1" x14ac:dyDescent="0.3">
      <c r="A72" s="128" t="s">
        <v>329</v>
      </c>
      <c r="B72" s="131"/>
      <c r="C72" s="131"/>
      <c r="D72" s="143"/>
      <c r="E72" s="143"/>
      <c r="F72" s="143"/>
      <c r="G72" s="143"/>
    </row>
    <row r="73" spans="1:7" ht="32.25" customHeight="1" thickBot="1" x14ac:dyDescent="0.3">
      <c r="A73" s="128" t="s">
        <v>330</v>
      </c>
      <c r="B73" s="131" t="s">
        <v>139</v>
      </c>
      <c r="C73" s="131" t="s">
        <v>139</v>
      </c>
      <c r="D73" s="143"/>
      <c r="E73" s="143"/>
      <c r="F73" s="143"/>
      <c r="G73" s="143"/>
    </row>
  </sheetData>
  <mergeCells count="82">
    <mergeCell ref="G70:G71"/>
    <mergeCell ref="B66:B67"/>
    <mergeCell ref="C66:C67"/>
    <mergeCell ref="D66:D67"/>
    <mergeCell ref="E66:E67"/>
    <mergeCell ref="F66:F67"/>
    <mergeCell ref="G66:G67"/>
    <mergeCell ref="B70:B71"/>
    <mergeCell ref="C70:C71"/>
    <mergeCell ref="D70:D71"/>
    <mergeCell ref="E70:E71"/>
    <mergeCell ref="F70:F71"/>
    <mergeCell ref="G57:G58"/>
    <mergeCell ref="B53:B54"/>
    <mergeCell ref="C53:C54"/>
    <mergeCell ref="D53:D54"/>
    <mergeCell ref="E53:E54"/>
    <mergeCell ref="F53:F54"/>
    <mergeCell ref="G53:G54"/>
    <mergeCell ref="B57:B58"/>
    <mergeCell ref="C57:C58"/>
    <mergeCell ref="D57:D58"/>
    <mergeCell ref="E57:E58"/>
    <mergeCell ref="F57:F58"/>
    <mergeCell ref="G38:G39"/>
    <mergeCell ref="B36:B37"/>
    <mergeCell ref="C36:C37"/>
    <mergeCell ref="D36:D37"/>
    <mergeCell ref="E36:E37"/>
    <mergeCell ref="F36:F37"/>
    <mergeCell ref="G36:G37"/>
    <mergeCell ref="B38:B39"/>
    <mergeCell ref="C38:C39"/>
    <mergeCell ref="D38:D39"/>
    <mergeCell ref="E38:E39"/>
    <mergeCell ref="F38:F39"/>
    <mergeCell ref="G31:G32"/>
    <mergeCell ref="B29:B30"/>
    <mergeCell ref="C29:C30"/>
    <mergeCell ref="D29:D30"/>
    <mergeCell ref="E29:E30"/>
    <mergeCell ref="F29:F30"/>
    <mergeCell ref="G29:G30"/>
    <mergeCell ref="B31:B32"/>
    <mergeCell ref="C31:C32"/>
    <mergeCell ref="D31:D32"/>
    <mergeCell ref="E31:E32"/>
    <mergeCell ref="F31:F32"/>
    <mergeCell ref="F19:F20"/>
    <mergeCell ref="G19:G20"/>
    <mergeCell ref="B27:B28"/>
    <mergeCell ref="C27:C28"/>
    <mergeCell ref="D27:D28"/>
    <mergeCell ref="E27:E28"/>
    <mergeCell ref="F27:F28"/>
    <mergeCell ref="G27:G28"/>
    <mergeCell ref="E19:E20"/>
    <mergeCell ref="A16:A17"/>
    <mergeCell ref="A19:A20"/>
    <mergeCell ref="B19:B20"/>
    <mergeCell ref="C19:C20"/>
    <mergeCell ref="D19:D20"/>
    <mergeCell ref="D12:D13"/>
    <mergeCell ref="G12:G13"/>
    <mergeCell ref="B15:B17"/>
    <mergeCell ref="C15:C17"/>
    <mergeCell ref="D15:D17"/>
    <mergeCell ref="E15:E17"/>
    <mergeCell ref="F15:F17"/>
    <mergeCell ref="G15:G17"/>
    <mergeCell ref="A1:G1"/>
    <mergeCell ref="A2:G2"/>
    <mergeCell ref="A4:A9"/>
    <mergeCell ref="B4:C4"/>
    <mergeCell ref="D4:G4"/>
    <mergeCell ref="B5:B9"/>
    <mergeCell ref="C5:C9"/>
    <mergeCell ref="D5:D9"/>
    <mergeCell ref="E5:G6"/>
    <mergeCell ref="E7:E9"/>
    <mergeCell ref="F7:F9"/>
    <mergeCell ref="G7:G9"/>
  </mergeCells>
  <pageMargins left="0.19685039370078741" right="0.19685039370078741" top="0" bottom="0" header="0.51181102362204722" footer="0.51181102362204722"/>
  <pageSetup paperSize="9" scale="48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3"/>
  <sheetViews>
    <sheetView zoomScaleNormal="100" workbookViewId="0">
      <selection activeCell="F22" sqref="F22"/>
    </sheetView>
  </sheetViews>
  <sheetFormatPr defaultRowHeight="15" x14ac:dyDescent="0.25"/>
  <cols>
    <col min="1" max="1" width="65.28515625" style="19" customWidth="1"/>
    <col min="2" max="2" width="17.7109375" style="19" customWidth="1"/>
    <col min="3" max="3" width="15.5703125" style="21" customWidth="1"/>
    <col min="4" max="4" width="27" style="19" customWidth="1"/>
    <col min="5" max="5" width="25.85546875" style="19" customWidth="1"/>
    <col min="6" max="6" width="26.7109375" style="19" customWidth="1"/>
    <col min="7" max="7" width="27" style="19" customWidth="1"/>
    <col min="8" max="8" width="10.7109375" style="19" customWidth="1"/>
    <col min="9" max="9" width="0" style="19" hidden="1" customWidth="1"/>
    <col min="10" max="10" width="14.140625" style="19" customWidth="1"/>
    <col min="11" max="11" width="13.85546875" style="19" customWidth="1"/>
    <col min="12" max="12" width="9.140625" style="19"/>
    <col min="13" max="13" width="14" style="19" customWidth="1"/>
    <col min="14" max="14" width="14.140625" style="19" customWidth="1"/>
    <col min="15" max="15" width="9.140625" style="19"/>
    <col min="16" max="16" width="14" style="19" customWidth="1"/>
    <col min="17" max="17" width="13.85546875" style="19" customWidth="1"/>
    <col min="18" max="16384" width="9.140625" style="19"/>
  </cols>
  <sheetData>
    <row r="1" spans="1:7" ht="18.75" x14ac:dyDescent="0.25">
      <c r="A1" s="201" t="s">
        <v>272</v>
      </c>
      <c r="B1" s="201"/>
      <c r="C1" s="201"/>
      <c r="D1" s="201"/>
      <c r="E1" s="201"/>
      <c r="F1" s="201"/>
      <c r="G1" s="201"/>
    </row>
    <row r="2" spans="1:7" ht="18.75" x14ac:dyDescent="0.25">
      <c r="A2" s="201" t="s">
        <v>332</v>
      </c>
      <c r="B2" s="201"/>
      <c r="C2" s="201"/>
      <c r="D2" s="201"/>
      <c r="E2" s="201"/>
      <c r="F2" s="201"/>
      <c r="G2" s="201"/>
    </row>
    <row r="3" spans="1:7" ht="15.75" thickBot="1" x14ac:dyDescent="0.3">
      <c r="A3" s="117"/>
      <c r="B3"/>
      <c r="C3"/>
      <c r="D3"/>
      <c r="E3"/>
      <c r="F3"/>
      <c r="G3"/>
    </row>
    <row r="4" spans="1:7" ht="16.5" customHeight="1" thickBot="1" x14ac:dyDescent="0.3">
      <c r="A4" s="204" t="s">
        <v>37</v>
      </c>
      <c r="B4" s="206" t="s">
        <v>274</v>
      </c>
      <c r="C4" s="207"/>
      <c r="D4" s="206" t="s">
        <v>275</v>
      </c>
      <c r="E4" s="208"/>
      <c r="F4" s="208"/>
      <c r="G4" s="207"/>
    </row>
    <row r="5" spans="1:7" ht="15" customHeight="1" x14ac:dyDescent="0.25">
      <c r="A5" s="205"/>
      <c r="B5" s="204" t="s">
        <v>276</v>
      </c>
      <c r="C5" s="204" t="s">
        <v>277</v>
      </c>
      <c r="D5" s="204" t="s">
        <v>278</v>
      </c>
      <c r="E5" s="210" t="s">
        <v>38</v>
      </c>
      <c r="F5" s="211"/>
      <c r="G5" s="212"/>
    </row>
    <row r="6" spans="1:7" ht="15.75" customHeight="1" thickBot="1" x14ac:dyDescent="0.3">
      <c r="A6" s="205"/>
      <c r="B6" s="205"/>
      <c r="C6" s="205"/>
      <c r="D6" s="205"/>
      <c r="E6" s="213"/>
      <c r="F6" s="214"/>
      <c r="G6" s="215"/>
    </row>
    <row r="7" spans="1:7" ht="15" customHeight="1" x14ac:dyDescent="0.25">
      <c r="A7" s="205"/>
      <c r="B7" s="205"/>
      <c r="C7" s="205"/>
      <c r="D7" s="205"/>
      <c r="E7" s="204" t="s">
        <v>279</v>
      </c>
      <c r="F7" s="204" t="s">
        <v>280</v>
      </c>
      <c r="G7" s="204" t="s">
        <v>281</v>
      </c>
    </row>
    <row r="8" spans="1:7" ht="15" customHeight="1" x14ac:dyDescent="0.25">
      <c r="A8" s="205"/>
      <c r="B8" s="205"/>
      <c r="C8" s="205"/>
      <c r="D8" s="205"/>
      <c r="E8" s="205"/>
      <c r="F8" s="205"/>
      <c r="G8" s="205"/>
    </row>
    <row r="9" spans="1:7" ht="90.75" customHeight="1" thickBot="1" x14ac:dyDescent="0.3">
      <c r="A9" s="205"/>
      <c r="B9" s="205"/>
      <c r="C9" s="205"/>
      <c r="D9" s="209"/>
      <c r="E9" s="205"/>
      <c r="F9" s="205"/>
      <c r="G9" s="205"/>
    </row>
    <row r="10" spans="1:7" ht="32.25" customHeight="1" thickBot="1" x14ac:dyDescent="0.3">
      <c r="A10" s="136" t="s">
        <v>282</v>
      </c>
      <c r="B10" s="137"/>
      <c r="C10" s="137"/>
      <c r="D10" s="144"/>
      <c r="E10" s="144"/>
      <c r="F10" s="144"/>
      <c r="G10" s="145"/>
    </row>
    <row r="11" spans="1:7" ht="16.5" thickBot="1" x14ac:dyDescent="0.3">
      <c r="A11" s="119" t="s">
        <v>283</v>
      </c>
      <c r="B11" s="151" t="s">
        <v>139</v>
      </c>
      <c r="C11" s="151"/>
      <c r="D11" s="169">
        <f>E11+F11+G11</f>
        <v>46944506</v>
      </c>
      <c r="E11" s="169">
        <f>E19</f>
        <v>37179770</v>
      </c>
      <c r="F11" s="169">
        <f>F22</f>
        <v>8474100</v>
      </c>
      <c r="G11" s="169">
        <f>SUM(G12:G14)</f>
        <v>1290636</v>
      </c>
    </row>
    <row r="12" spans="1:7" ht="15.75" x14ac:dyDescent="0.25">
      <c r="A12" s="138" t="s">
        <v>38</v>
      </c>
      <c r="B12" s="139"/>
      <c r="C12" s="139"/>
      <c r="D12" s="216">
        <f>G12</f>
        <v>1043028</v>
      </c>
      <c r="E12" s="146"/>
      <c r="F12" s="146"/>
      <c r="G12" s="216">
        <f>ф.6!J6</f>
        <v>1043028</v>
      </c>
    </row>
    <row r="13" spans="1:7" ht="16.5" thickBot="1" x14ac:dyDescent="0.3">
      <c r="A13" s="128" t="s">
        <v>284</v>
      </c>
      <c r="B13" s="131" t="s">
        <v>139</v>
      </c>
      <c r="C13" s="131">
        <v>120</v>
      </c>
      <c r="D13" s="217"/>
      <c r="E13" s="143" t="s">
        <v>139</v>
      </c>
      <c r="F13" s="143" t="s">
        <v>139</v>
      </c>
      <c r="G13" s="217"/>
    </row>
    <row r="14" spans="1:7" ht="16.5" thickBot="1" x14ac:dyDescent="0.3">
      <c r="A14" s="128" t="s">
        <v>285</v>
      </c>
      <c r="B14" s="131" t="s">
        <v>139</v>
      </c>
      <c r="C14" s="131">
        <v>130</v>
      </c>
      <c r="D14" s="143">
        <f>E14+F14+G14</f>
        <v>247608</v>
      </c>
      <c r="E14" s="143">
        <v>0</v>
      </c>
      <c r="F14" s="143">
        <v>0</v>
      </c>
      <c r="G14" s="143">
        <f>G15+G18</f>
        <v>247608</v>
      </c>
    </row>
    <row r="15" spans="1:7" ht="15.75" x14ac:dyDescent="0.25">
      <c r="A15" s="138" t="s">
        <v>286</v>
      </c>
      <c r="B15" s="218" t="s">
        <v>139</v>
      </c>
      <c r="C15" s="218">
        <v>130</v>
      </c>
      <c r="D15" s="216">
        <f>G15</f>
        <v>0</v>
      </c>
      <c r="E15" s="216" t="s">
        <v>139</v>
      </c>
      <c r="F15" s="216" t="s">
        <v>139</v>
      </c>
      <c r="G15" s="216">
        <v>0</v>
      </c>
    </row>
    <row r="16" spans="1:7" ht="15" customHeight="1" x14ac:dyDescent="0.25">
      <c r="A16" s="222" t="s">
        <v>287</v>
      </c>
      <c r="B16" s="219"/>
      <c r="C16" s="219"/>
      <c r="D16" s="221"/>
      <c r="E16" s="221"/>
      <c r="F16" s="221"/>
      <c r="G16" s="221"/>
    </row>
    <row r="17" spans="1:7" ht="67.5" customHeight="1" thickBot="1" x14ac:dyDescent="0.3">
      <c r="A17" s="223"/>
      <c r="B17" s="220"/>
      <c r="C17" s="220"/>
      <c r="D17" s="217"/>
      <c r="E17" s="217"/>
      <c r="F17" s="217"/>
      <c r="G17" s="217"/>
    </row>
    <row r="18" spans="1:7" ht="52.5" customHeight="1" thickBot="1" x14ac:dyDescent="0.3">
      <c r="A18" s="128" t="s">
        <v>288</v>
      </c>
      <c r="B18" s="131" t="s">
        <v>139</v>
      </c>
      <c r="C18" s="131">
        <v>130</v>
      </c>
      <c r="D18" s="143">
        <f>G18</f>
        <v>247608</v>
      </c>
      <c r="E18" s="143" t="s">
        <v>139</v>
      </c>
      <c r="F18" s="143" t="s">
        <v>139</v>
      </c>
      <c r="G18" s="143">
        <f>ф.5!J7</f>
        <v>247608</v>
      </c>
    </row>
    <row r="19" spans="1:7" ht="15" customHeight="1" x14ac:dyDescent="0.25">
      <c r="A19" s="224" t="s">
        <v>289</v>
      </c>
      <c r="B19" s="218" t="s">
        <v>139</v>
      </c>
      <c r="C19" s="218">
        <v>130</v>
      </c>
      <c r="D19" s="216">
        <f>E19</f>
        <v>37179770</v>
      </c>
      <c r="E19" s="216">
        <f>ф.3!H8</f>
        <v>37179770</v>
      </c>
      <c r="F19" s="216" t="s">
        <v>139</v>
      </c>
      <c r="G19" s="216" t="s">
        <v>139</v>
      </c>
    </row>
    <row r="20" spans="1:7" ht="15.75" customHeight="1" thickBot="1" x14ac:dyDescent="0.3">
      <c r="A20" s="223"/>
      <c r="B20" s="220"/>
      <c r="C20" s="220"/>
      <c r="D20" s="217"/>
      <c r="E20" s="217"/>
      <c r="F20" s="217"/>
      <c r="G20" s="217"/>
    </row>
    <row r="21" spans="1:7" ht="32.25" thickBot="1" x14ac:dyDescent="0.3">
      <c r="A21" s="128" t="s">
        <v>290</v>
      </c>
      <c r="B21" s="131" t="s">
        <v>291</v>
      </c>
      <c r="C21" s="131">
        <v>140</v>
      </c>
      <c r="D21" s="143">
        <f>G21</f>
        <v>0</v>
      </c>
      <c r="E21" s="143" t="s">
        <v>139</v>
      </c>
      <c r="F21" s="143" t="s">
        <v>139</v>
      </c>
      <c r="G21" s="143">
        <v>0</v>
      </c>
    </row>
    <row r="22" spans="1:7" ht="32.25" customHeight="1" thickBot="1" x14ac:dyDescent="0.3">
      <c r="A22" s="128" t="s">
        <v>292</v>
      </c>
      <c r="B22" s="131" t="s">
        <v>139</v>
      </c>
      <c r="C22" s="131">
        <v>180</v>
      </c>
      <c r="D22" s="143">
        <f>F22</f>
        <v>8474100</v>
      </c>
      <c r="E22" s="143" t="s">
        <v>139</v>
      </c>
      <c r="F22" s="143">
        <f>ф.4!J9+ф.4!J23+'ф.4 (2)'!J9+'ф.4 (2)'!J24+'ф.4 (3)'!J9+'ф.4 (4)'!J9+'ф.4 (4)'!J29+'ф.4 (5)'!J9+'ф.4 (5)'!J23</f>
        <v>8474100</v>
      </c>
      <c r="G22" s="143" t="s">
        <v>139</v>
      </c>
    </row>
    <row r="23" spans="1:7" ht="16.5" thickBot="1" x14ac:dyDescent="0.3">
      <c r="A23" s="128" t="s">
        <v>293</v>
      </c>
      <c r="B23" s="131" t="s">
        <v>139</v>
      </c>
      <c r="C23" s="131">
        <v>180</v>
      </c>
      <c r="D23" s="143">
        <f>G23</f>
        <v>0</v>
      </c>
      <c r="E23" s="143" t="s">
        <v>139</v>
      </c>
      <c r="F23" s="143" t="s">
        <v>139</v>
      </c>
      <c r="G23" s="143">
        <v>0</v>
      </c>
    </row>
    <row r="24" spans="1:7" ht="16.5" thickBot="1" x14ac:dyDescent="0.3">
      <c r="A24" s="128" t="s">
        <v>294</v>
      </c>
      <c r="B24" s="131" t="s">
        <v>139</v>
      </c>
      <c r="C24" s="131" t="s">
        <v>139</v>
      </c>
      <c r="D24" s="143">
        <f>G24</f>
        <v>0</v>
      </c>
      <c r="E24" s="143" t="s">
        <v>139</v>
      </c>
      <c r="F24" s="143" t="s">
        <v>139</v>
      </c>
      <c r="G24" s="143">
        <v>0</v>
      </c>
    </row>
    <row r="25" spans="1:7" ht="16.5" thickBot="1" x14ac:dyDescent="0.3">
      <c r="A25" s="128"/>
      <c r="B25" s="131"/>
      <c r="C25" s="131"/>
      <c r="D25" s="143"/>
      <c r="E25" s="143"/>
      <c r="F25" s="143"/>
      <c r="G25" s="143"/>
    </row>
    <row r="26" spans="1:7" ht="16.5" thickBot="1" x14ac:dyDescent="0.3">
      <c r="A26" s="119" t="s">
        <v>295</v>
      </c>
      <c r="B26" s="151" t="s">
        <v>139</v>
      </c>
      <c r="C26" s="151" t="s">
        <v>139</v>
      </c>
      <c r="D26" s="169">
        <f>E26+F26+G26</f>
        <v>46944506</v>
      </c>
      <c r="E26" s="169">
        <f>E27+E35+E52+E56</f>
        <v>37179770</v>
      </c>
      <c r="F26" s="169">
        <f>F27+F35+F52+F56</f>
        <v>8474100</v>
      </c>
      <c r="G26" s="169">
        <f>G27+G35+G52+G56</f>
        <v>1290636</v>
      </c>
    </row>
    <row r="27" spans="1:7" ht="31.5" x14ac:dyDescent="0.25">
      <c r="A27" s="138" t="s">
        <v>296</v>
      </c>
      <c r="B27" s="218">
        <v>100</v>
      </c>
      <c r="C27" s="218" t="s">
        <v>139</v>
      </c>
      <c r="D27" s="216">
        <f>E27+F27+G27</f>
        <v>34394500</v>
      </c>
      <c r="E27" s="216">
        <f>E29</f>
        <v>33129000</v>
      </c>
      <c r="F27" s="216">
        <f>F29</f>
        <v>1248000</v>
      </c>
      <c r="G27" s="216">
        <f>G29</f>
        <v>17500</v>
      </c>
    </row>
    <row r="28" spans="1:7" ht="16.5" thickBot="1" x14ac:dyDescent="0.3">
      <c r="A28" s="128" t="s">
        <v>297</v>
      </c>
      <c r="B28" s="220"/>
      <c r="C28" s="220"/>
      <c r="D28" s="217"/>
      <c r="E28" s="217"/>
      <c r="F28" s="217"/>
      <c r="G28" s="217"/>
    </row>
    <row r="29" spans="1:7" ht="15.75" x14ac:dyDescent="0.25">
      <c r="A29" s="138" t="s">
        <v>298</v>
      </c>
      <c r="B29" s="218">
        <v>110</v>
      </c>
      <c r="C29" s="218">
        <v>210</v>
      </c>
      <c r="D29" s="216">
        <f>E29+F29+G29</f>
        <v>34394500</v>
      </c>
      <c r="E29" s="216">
        <f>SUM(E31:E34)</f>
        <v>33129000</v>
      </c>
      <c r="F29" s="216">
        <f>SUM(F31:F34)</f>
        <v>1248000</v>
      </c>
      <c r="G29" s="216">
        <f>SUM(G31:G34)</f>
        <v>17500</v>
      </c>
    </row>
    <row r="30" spans="1:7" ht="32.25" customHeight="1" thickBot="1" x14ac:dyDescent="0.3">
      <c r="A30" s="128" t="s">
        <v>299</v>
      </c>
      <c r="B30" s="220"/>
      <c r="C30" s="220"/>
      <c r="D30" s="217"/>
      <c r="E30" s="217"/>
      <c r="F30" s="217"/>
      <c r="G30" s="217"/>
    </row>
    <row r="31" spans="1:7" ht="15.75" x14ac:dyDescent="0.25">
      <c r="A31" s="138" t="s">
        <v>286</v>
      </c>
      <c r="B31" s="218">
        <v>111</v>
      </c>
      <c r="C31" s="218">
        <v>211</v>
      </c>
      <c r="D31" s="216">
        <f>E31+F31+G31</f>
        <v>25459000</v>
      </c>
      <c r="E31" s="216">
        <f>ф.3!H11</f>
        <v>25459000</v>
      </c>
      <c r="F31" s="216">
        <v>0</v>
      </c>
      <c r="G31" s="216">
        <v>0</v>
      </c>
    </row>
    <row r="32" spans="1:7" ht="16.5" thickBot="1" x14ac:dyDescent="0.3">
      <c r="A32" s="128" t="s">
        <v>300</v>
      </c>
      <c r="B32" s="220"/>
      <c r="C32" s="220"/>
      <c r="D32" s="217"/>
      <c r="E32" s="217"/>
      <c r="F32" s="217"/>
      <c r="G32" s="217"/>
    </row>
    <row r="33" spans="1:7" ht="39.75" customHeight="1" thickBot="1" x14ac:dyDescent="0.3">
      <c r="A33" s="140" t="s">
        <v>301</v>
      </c>
      <c r="B33" s="131">
        <v>112</v>
      </c>
      <c r="C33" s="131">
        <v>212</v>
      </c>
      <c r="D33" s="143">
        <f>E33+F33+G33</f>
        <v>1247500</v>
      </c>
      <c r="E33" s="143">
        <f>ф.3!H12</f>
        <v>32000</v>
      </c>
      <c r="F33" s="143">
        <f>ф.4!J12+ф.4!J26</f>
        <v>1198000</v>
      </c>
      <c r="G33" s="143">
        <f>ф.5!J11+ф.6!J10</f>
        <v>17500</v>
      </c>
    </row>
    <row r="34" spans="1:7" ht="54" customHeight="1" thickBot="1" x14ac:dyDescent="0.3">
      <c r="A34" s="140" t="s">
        <v>302</v>
      </c>
      <c r="B34" s="131">
        <v>119</v>
      </c>
      <c r="C34" s="131">
        <v>213</v>
      </c>
      <c r="D34" s="143">
        <f>E34+F34+G34</f>
        <v>7688000</v>
      </c>
      <c r="E34" s="143">
        <f>ф.3!H13</f>
        <v>7638000</v>
      </c>
      <c r="F34" s="143">
        <f>ф.4!J13+ф.4!J27</f>
        <v>50000</v>
      </c>
      <c r="G34" s="143">
        <v>0</v>
      </c>
    </row>
    <row r="35" spans="1:7" ht="39.75" customHeight="1" thickBot="1" x14ac:dyDescent="0.3">
      <c r="A35" s="128" t="s">
        <v>303</v>
      </c>
      <c r="B35" s="131">
        <v>200</v>
      </c>
      <c r="C35" s="131" t="s">
        <v>139</v>
      </c>
      <c r="D35" s="143">
        <f>E35+F35+G35</f>
        <v>12025006</v>
      </c>
      <c r="E35" s="143">
        <f>E36</f>
        <v>3659770</v>
      </c>
      <c r="F35" s="143">
        <f>F36</f>
        <v>7116100</v>
      </c>
      <c r="G35" s="143">
        <f>G36</f>
        <v>1249136</v>
      </c>
    </row>
    <row r="36" spans="1:7" ht="15.75" x14ac:dyDescent="0.25">
      <c r="A36" s="138" t="s">
        <v>304</v>
      </c>
      <c r="B36" s="218">
        <v>240</v>
      </c>
      <c r="C36" s="218" t="s">
        <v>139</v>
      </c>
      <c r="D36" s="216">
        <f>E36+F36+G36</f>
        <v>12025006</v>
      </c>
      <c r="E36" s="216">
        <f>E38+E42</f>
        <v>3659770</v>
      </c>
      <c r="F36" s="216">
        <f>F38+F42</f>
        <v>7116100</v>
      </c>
      <c r="G36" s="216">
        <f>G38+G42</f>
        <v>1249136</v>
      </c>
    </row>
    <row r="37" spans="1:7" ht="48" customHeight="1" thickBot="1" x14ac:dyDescent="0.3">
      <c r="A37" s="128" t="s">
        <v>305</v>
      </c>
      <c r="B37" s="220"/>
      <c r="C37" s="220"/>
      <c r="D37" s="217"/>
      <c r="E37" s="217"/>
      <c r="F37" s="217"/>
      <c r="G37" s="217"/>
    </row>
    <row r="38" spans="1:7" ht="15.75" x14ac:dyDescent="0.25">
      <c r="A38" s="138" t="s">
        <v>286</v>
      </c>
      <c r="B38" s="218">
        <v>243</v>
      </c>
      <c r="C38" s="218" t="s">
        <v>139</v>
      </c>
      <c r="D38" s="216">
        <f>E38+F38+G38</f>
        <v>0</v>
      </c>
      <c r="E38" s="216">
        <f>SUM(E40:E41)</f>
        <v>0</v>
      </c>
      <c r="F38" s="216">
        <f>SUM(F40:F41)</f>
        <v>0</v>
      </c>
      <c r="G38" s="216">
        <f>SUM(G40:G41)</f>
        <v>0</v>
      </c>
    </row>
    <row r="39" spans="1:7" ht="39" customHeight="1" thickBot="1" x14ac:dyDescent="0.3">
      <c r="A39" s="128" t="s">
        <v>306</v>
      </c>
      <c r="B39" s="220"/>
      <c r="C39" s="220"/>
      <c r="D39" s="217"/>
      <c r="E39" s="217"/>
      <c r="F39" s="217"/>
      <c r="G39" s="217"/>
    </row>
    <row r="40" spans="1:7" ht="17.25" customHeight="1" thickBot="1" x14ac:dyDescent="0.3">
      <c r="A40" s="128" t="s">
        <v>307</v>
      </c>
      <c r="B40" s="131" t="s">
        <v>308</v>
      </c>
      <c r="C40" s="131">
        <v>225</v>
      </c>
      <c r="D40" s="143">
        <f>E40+F40+G40</f>
        <v>0</v>
      </c>
      <c r="E40" s="143">
        <v>0</v>
      </c>
      <c r="F40" s="143">
        <v>0</v>
      </c>
      <c r="G40" s="143">
        <v>0</v>
      </c>
    </row>
    <row r="41" spans="1:7" ht="16.5" thickBot="1" x14ac:dyDescent="0.3">
      <c r="A41" s="128" t="s">
        <v>309</v>
      </c>
      <c r="B41" s="131" t="s">
        <v>308</v>
      </c>
      <c r="C41" s="131">
        <v>226</v>
      </c>
      <c r="D41" s="143">
        <f>E41+F41+G41</f>
        <v>0</v>
      </c>
      <c r="E41" s="143">
        <v>0</v>
      </c>
      <c r="F41" s="143">
        <v>0</v>
      </c>
      <c r="G41" s="143">
        <v>0</v>
      </c>
    </row>
    <row r="42" spans="1:7" ht="38.25" customHeight="1" thickBot="1" x14ac:dyDescent="0.3">
      <c r="A42" s="140" t="s">
        <v>310</v>
      </c>
      <c r="B42" s="131">
        <v>244</v>
      </c>
      <c r="C42" s="131" t="s">
        <v>139</v>
      </c>
      <c r="D42" s="143">
        <f>E42+F42+G42</f>
        <v>12025006</v>
      </c>
      <c r="E42" s="143">
        <f>SUM(E43:E51)</f>
        <v>3659770</v>
      </c>
      <c r="F42" s="143">
        <f>SUM(F43:F51)</f>
        <v>7116100</v>
      </c>
      <c r="G42" s="143">
        <f>SUM(G43:G51)</f>
        <v>1249136</v>
      </c>
    </row>
    <row r="43" spans="1:7" ht="16.5" thickBot="1" x14ac:dyDescent="0.3">
      <c r="A43" s="128" t="s">
        <v>311</v>
      </c>
      <c r="B43" s="131">
        <v>244</v>
      </c>
      <c r="C43" s="131">
        <v>221</v>
      </c>
      <c r="D43" s="143">
        <f t="shared" ref="D43:D51" si="0">E43+F43+G43</f>
        <v>312000</v>
      </c>
      <c r="E43" s="143">
        <f>ф.3!H16</f>
        <v>305000</v>
      </c>
      <c r="F43" s="143">
        <v>0</v>
      </c>
      <c r="G43" s="143">
        <f>ф.5!J15+ф.6!J14</f>
        <v>7000</v>
      </c>
    </row>
    <row r="44" spans="1:7" ht="16.5" thickBot="1" x14ac:dyDescent="0.3">
      <c r="A44" s="128" t="s">
        <v>312</v>
      </c>
      <c r="B44" s="131">
        <v>244</v>
      </c>
      <c r="C44" s="131">
        <v>222</v>
      </c>
      <c r="D44" s="143">
        <f t="shared" si="0"/>
        <v>159000</v>
      </c>
      <c r="E44" s="143">
        <f>ф.3!H17</f>
        <v>159000</v>
      </c>
      <c r="F44" s="143">
        <v>0</v>
      </c>
      <c r="G44" s="143">
        <f>ф.5!J16+ф.6!J15</f>
        <v>0</v>
      </c>
    </row>
    <row r="45" spans="1:7" ht="16.5" thickBot="1" x14ac:dyDescent="0.3">
      <c r="A45" s="128" t="s">
        <v>313</v>
      </c>
      <c r="B45" s="131">
        <v>244</v>
      </c>
      <c r="C45" s="131">
        <v>223</v>
      </c>
      <c r="D45" s="143">
        <f t="shared" si="0"/>
        <v>1382395</v>
      </c>
      <c r="E45" s="143">
        <f>ф.3!H18</f>
        <v>1115070</v>
      </c>
      <c r="F45" s="143">
        <v>0</v>
      </c>
      <c r="G45" s="143">
        <f>ф.5!J17+ф.6!J16</f>
        <v>267325</v>
      </c>
    </row>
    <row r="46" spans="1:7" ht="18" customHeight="1" thickBot="1" x14ac:dyDescent="0.3">
      <c r="A46" s="128" t="s">
        <v>314</v>
      </c>
      <c r="B46" s="131">
        <v>244</v>
      </c>
      <c r="C46" s="131">
        <v>224</v>
      </c>
      <c r="D46" s="143">
        <f t="shared" si="0"/>
        <v>0</v>
      </c>
      <c r="E46" s="143">
        <f>ф.3!H19</f>
        <v>0</v>
      </c>
      <c r="F46" s="143">
        <v>0</v>
      </c>
      <c r="G46" s="143">
        <f>ф.5!J18+ф.6!J17</f>
        <v>0</v>
      </c>
    </row>
    <row r="47" spans="1:7" ht="18.75" customHeight="1" thickBot="1" x14ac:dyDescent="0.3">
      <c r="A47" s="128" t="s">
        <v>307</v>
      </c>
      <c r="B47" s="131" t="s">
        <v>315</v>
      </c>
      <c r="C47" s="131">
        <v>225</v>
      </c>
      <c r="D47" s="143">
        <f t="shared" si="0"/>
        <v>919470</v>
      </c>
      <c r="E47" s="143">
        <f>ф.3!H20</f>
        <v>649000</v>
      </c>
      <c r="F47" s="143">
        <f>'ф.4 (2)'!J13+'ф.4 (5)'!J27</f>
        <v>36000</v>
      </c>
      <c r="G47" s="143">
        <f>ф.5!J19+ф.6!J18</f>
        <v>234470</v>
      </c>
    </row>
    <row r="48" spans="1:7" ht="16.5" thickBot="1" x14ac:dyDescent="0.3">
      <c r="A48" s="128" t="s">
        <v>309</v>
      </c>
      <c r="B48" s="131" t="s">
        <v>315</v>
      </c>
      <c r="C48" s="131">
        <v>226</v>
      </c>
      <c r="D48" s="143">
        <f t="shared" si="0"/>
        <v>2680513</v>
      </c>
      <c r="E48" s="143">
        <f>ф.3!H21</f>
        <v>906700</v>
      </c>
      <c r="F48" s="143">
        <f>'ф.4 (2)'!J14+'ф.4 (2)'!J28+'ф.4 (3)'!J15+'ф.4 (4)'!J13+'ф.4 (4)'!J35+'ф.4 (5)'!J13+'ф.4 (5)'!J28</f>
        <v>1436700</v>
      </c>
      <c r="G48" s="143">
        <f>ф.5!J20+ф.6!J19</f>
        <v>337113</v>
      </c>
    </row>
    <row r="49" spans="1:7" ht="16.5" thickBot="1" x14ac:dyDescent="0.3">
      <c r="A49" s="128" t="s">
        <v>316</v>
      </c>
      <c r="B49" s="131">
        <v>244</v>
      </c>
      <c r="C49" s="131">
        <v>290</v>
      </c>
      <c r="D49" s="143">
        <f t="shared" si="0"/>
        <v>4929480</v>
      </c>
      <c r="E49" s="143">
        <f>ф.3!H22</f>
        <v>0</v>
      </c>
      <c r="F49" s="143">
        <f>'ф.4 (2)'!J29+'ф.4 (3)'!J16+'ф.4 (4)'!J14+'ф.4 (4)'!J36</f>
        <v>4929480</v>
      </c>
      <c r="G49" s="143">
        <f>ф.5!J21+ф.6!J20</f>
        <v>0</v>
      </c>
    </row>
    <row r="50" spans="1:7" ht="16.5" thickBot="1" x14ac:dyDescent="0.3">
      <c r="A50" s="128" t="s">
        <v>317</v>
      </c>
      <c r="B50" s="131">
        <v>244</v>
      </c>
      <c r="C50" s="131">
        <v>310</v>
      </c>
      <c r="D50" s="143">
        <f t="shared" si="0"/>
        <v>215828</v>
      </c>
      <c r="E50" s="143">
        <f>ф.3!H24</f>
        <v>0</v>
      </c>
      <c r="F50" s="143">
        <v>0</v>
      </c>
      <c r="G50" s="143">
        <f>ф.5!J23+ф.6!J22</f>
        <v>215828</v>
      </c>
    </row>
    <row r="51" spans="1:7" ht="18.75" customHeight="1" thickBot="1" x14ac:dyDescent="0.3">
      <c r="A51" s="128" t="s">
        <v>318</v>
      </c>
      <c r="B51" s="131">
        <v>244</v>
      </c>
      <c r="C51" s="131">
        <v>340</v>
      </c>
      <c r="D51" s="143">
        <f t="shared" si="0"/>
        <v>1426320</v>
      </c>
      <c r="E51" s="143">
        <f>ф.3!H25</f>
        <v>525000</v>
      </c>
      <c r="F51" s="143">
        <f>'ф.4 (2)'!J32+'ф.4 (3)'!J19+'ф.4 (4)'!J17+'ф.4 (4)'!J39</f>
        <v>713920</v>
      </c>
      <c r="G51" s="143">
        <f>ф.5!J24+ф.6!J23</f>
        <v>187400</v>
      </c>
    </row>
    <row r="52" spans="1:7" ht="23.25" customHeight="1" thickBot="1" x14ac:dyDescent="0.3">
      <c r="A52" s="141" t="s">
        <v>319</v>
      </c>
      <c r="B52" s="131">
        <v>300</v>
      </c>
      <c r="C52" s="131" t="s">
        <v>139</v>
      </c>
      <c r="D52" s="143">
        <f>E52+F52+G52</f>
        <v>110000</v>
      </c>
      <c r="E52" s="143">
        <f>E53</f>
        <v>0</v>
      </c>
      <c r="F52" s="143">
        <f>F53</f>
        <v>110000</v>
      </c>
      <c r="G52" s="143">
        <f>G53</f>
        <v>0</v>
      </c>
    </row>
    <row r="53" spans="1:7" ht="15" customHeight="1" x14ac:dyDescent="0.25">
      <c r="A53" s="142" t="s">
        <v>304</v>
      </c>
      <c r="B53" s="218">
        <v>350</v>
      </c>
      <c r="C53" s="218" t="s">
        <v>139</v>
      </c>
      <c r="D53" s="216">
        <f>E53+F53+G53</f>
        <v>110000</v>
      </c>
      <c r="E53" s="216">
        <f>E55</f>
        <v>0</v>
      </c>
      <c r="F53" s="216">
        <f>F55</f>
        <v>110000</v>
      </c>
      <c r="G53" s="216">
        <v>0</v>
      </c>
    </row>
    <row r="54" spans="1:7" ht="15.75" customHeight="1" thickBot="1" x14ac:dyDescent="0.3">
      <c r="A54" s="141" t="s">
        <v>320</v>
      </c>
      <c r="B54" s="220"/>
      <c r="C54" s="220"/>
      <c r="D54" s="217"/>
      <c r="E54" s="217"/>
      <c r="F54" s="217"/>
      <c r="G54" s="217"/>
    </row>
    <row r="55" spans="1:7" ht="16.5" thickBot="1" x14ac:dyDescent="0.3">
      <c r="A55" s="141" t="s">
        <v>316</v>
      </c>
      <c r="B55" s="131">
        <v>350</v>
      </c>
      <c r="C55" s="131">
        <v>290</v>
      </c>
      <c r="D55" s="143">
        <f>E55+F55+G55</f>
        <v>110000</v>
      </c>
      <c r="E55" s="143">
        <v>0</v>
      </c>
      <c r="F55" s="143">
        <f>'ф.4 (2)'!J34+'ф.4 (3)'!J25+'ф.4 (4)'!J19+'ф.4 (4)'!J41</f>
        <v>110000</v>
      </c>
      <c r="G55" s="143">
        <f>ф.6!J29</f>
        <v>0</v>
      </c>
    </row>
    <row r="56" spans="1:7" ht="16.5" thickBot="1" x14ac:dyDescent="0.3">
      <c r="A56" s="141" t="s">
        <v>321</v>
      </c>
      <c r="B56" s="131">
        <v>800</v>
      </c>
      <c r="C56" s="131" t="s">
        <v>139</v>
      </c>
      <c r="D56" s="143">
        <f>E56+F56+G56</f>
        <v>415000</v>
      </c>
      <c r="E56" s="143">
        <f>SUM(E57+E60+E62)</f>
        <v>391000</v>
      </c>
      <c r="F56" s="143">
        <f>F57+F60+F62</f>
        <v>0</v>
      </c>
      <c r="G56" s="143">
        <f>G57+G60+G62</f>
        <v>24000</v>
      </c>
    </row>
    <row r="57" spans="1:7" ht="15" customHeight="1" x14ac:dyDescent="0.25">
      <c r="A57" s="142" t="s">
        <v>304</v>
      </c>
      <c r="B57" s="218">
        <v>851</v>
      </c>
      <c r="C57" s="218" t="s">
        <v>139</v>
      </c>
      <c r="D57" s="216">
        <f>E57+F57+G57</f>
        <v>381000</v>
      </c>
      <c r="E57" s="216">
        <f>E59</f>
        <v>381000</v>
      </c>
      <c r="F57" s="216">
        <f>F59</f>
        <v>0</v>
      </c>
      <c r="G57" s="216">
        <f>G59</f>
        <v>0</v>
      </c>
    </row>
    <row r="58" spans="1:7" ht="15.75" customHeight="1" thickBot="1" x14ac:dyDescent="0.3">
      <c r="A58" s="141" t="s">
        <v>322</v>
      </c>
      <c r="B58" s="220"/>
      <c r="C58" s="220"/>
      <c r="D58" s="217"/>
      <c r="E58" s="217"/>
      <c r="F58" s="217"/>
      <c r="G58" s="217"/>
    </row>
    <row r="59" spans="1:7" ht="16.5" thickBot="1" x14ac:dyDescent="0.3">
      <c r="A59" s="141" t="s">
        <v>316</v>
      </c>
      <c r="B59" s="131">
        <v>851</v>
      </c>
      <c r="C59" s="131">
        <v>290</v>
      </c>
      <c r="D59" s="143">
        <f>E59+F59+G59</f>
        <v>381000</v>
      </c>
      <c r="E59" s="143">
        <f>ф.3!H31</f>
        <v>381000</v>
      </c>
      <c r="F59" s="143">
        <v>0</v>
      </c>
      <c r="G59" s="143">
        <f>ф.5!J30+ф.6!J31</f>
        <v>0</v>
      </c>
    </row>
    <row r="60" spans="1:7" ht="16.5" thickBot="1" x14ac:dyDescent="0.3">
      <c r="A60" s="141" t="s">
        <v>323</v>
      </c>
      <c r="B60" s="131">
        <v>852</v>
      </c>
      <c r="C60" s="131" t="s">
        <v>139</v>
      </c>
      <c r="D60" s="143">
        <f t="shared" ref="D60:D63" si="1">E60+F60+G60</f>
        <v>34000</v>
      </c>
      <c r="E60" s="143">
        <f>E61</f>
        <v>10000</v>
      </c>
      <c r="F60" s="143">
        <f>F61</f>
        <v>0</v>
      </c>
      <c r="G60" s="143">
        <f>G61</f>
        <v>24000</v>
      </c>
    </row>
    <row r="61" spans="1:7" ht="16.5" thickBot="1" x14ac:dyDescent="0.3">
      <c r="A61" s="141" t="s">
        <v>316</v>
      </c>
      <c r="B61" s="131">
        <v>852</v>
      </c>
      <c r="C61" s="131">
        <v>290</v>
      </c>
      <c r="D61" s="143">
        <f t="shared" si="1"/>
        <v>34000</v>
      </c>
      <c r="E61" s="143">
        <f>ф.3!H32</f>
        <v>10000</v>
      </c>
      <c r="F61" s="143">
        <v>0</v>
      </c>
      <c r="G61" s="143">
        <f>ф.5!J31+ф.6!J32</f>
        <v>24000</v>
      </c>
    </row>
    <row r="62" spans="1:7" ht="16.5" thickBot="1" x14ac:dyDescent="0.3">
      <c r="A62" s="141" t="s">
        <v>324</v>
      </c>
      <c r="B62" s="131">
        <v>853</v>
      </c>
      <c r="C62" s="131" t="s">
        <v>139</v>
      </c>
      <c r="D62" s="143">
        <f t="shared" si="1"/>
        <v>0</v>
      </c>
      <c r="E62" s="143">
        <f>E63</f>
        <v>0</v>
      </c>
      <c r="F62" s="143">
        <f>F63</f>
        <v>0</v>
      </c>
      <c r="G62" s="143">
        <f>G63</f>
        <v>0</v>
      </c>
    </row>
    <row r="63" spans="1:7" ht="16.5" thickBot="1" x14ac:dyDescent="0.3">
      <c r="A63" s="141" t="s">
        <v>316</v>
      </c>
      <c r="B63" s="131">
        <v>853</v>
      </c>
      <c r="C63" s="131">
        <v>290</v>
      </c>
      <c r="D63" s="143">
        <f t="shared" si="1"/>
        <v>0</v>
      </c>
      <c r="E63" s="143">
        <v>0</v>
      </c>
      <c r="F63" s="143">
        <v>0</v>
      </c>
      <c r="G63" s="143">
        <f>ф.6!J33</f>
        <v>0</v>
      </c>
    </row>
    <row r="64" spans="1:7" ht="16.5" thickBot="1" x14ac:dyDescent="0.3">
      <c r="A64" s="141"/>
      <c r="B64" s="131"/>
      <c r="C64" s="131"/>
      <c r="D64" s="143"/>
      <c r="E64" s="143"/>
      <c r="F64" s="143"/>
      <c r="G64" s="143"/>
    </row>
    <row r="65" spans="1:7" ht="16.5" thickBot="1" x14ac:dyDescent="0.3">
      <c r="A65" s="141" t="s">
        <v>325</v>
      </c>
      <c r="B65" s="131" t="s">
        <v>139</v>
      </c>
      <c r="C65" s="131">
        <v>500</v>
      </c>
      <c r="D65" s="143"/>
      <c r="E65" s="143"/>
      <c r="F65" s="143"/>
      <c r="G65" s="143"/>
    </row>
    <row r="66" spans="1:7" ht="15" customHeight="1" x14ac:dyDescent="0.25">
      <c r="A66" s="142" t="s">
        <v>97</v>
      </c>
      <c r="B66" s="218" t="s">
        <v>139</v>
      </c>
      <c r="C66" s="218">
        <v>510</v>
      </c>
      <c r="D66" s="216"/>
      <c r="E66" s="216"/>
      <c r="F66" s="216"/>
      <c r="G66" s="216"/>
    </row>
    <row r="67" spans="1:7" ht="15.75" customHeight="1" thickBot="1" x14ac:dyDescent="0.3">
      <c r="A67" s="141" t="s">
        <v>326</v>
      </c>
      <c r="B67" s="220"/>
      <c r="C67" s="220"/>
      <c r="D67" s="217"/>
      <c r="E67" s="217"/>
      <c r="F67" s="217"/>
      <c r="G67" s="217"/>
    </row>
    <row r="68" spans="1:7" ht="16.5" thickBot="1" x14ac:dyDescent="0.3">
      <c r="A68" s="141" t="s">
        <v>327</v>
      </c>
      <c r="B68" s="131" t="s">
        <v>139</v>
      </c>
      <c r="C68" s="131"/>
      <c r="D68" s="143"/>
      <c r="E68" s="143"/>
      <c r="F68" s="143"/>
      <c r="G68" s="143"/>
    </row>
    <row r="69" spans="1:7" ht="16.5" thickBot="1" x14ac:dyDescent="0.3">
      <c r="A69" s="141" t="s">
        <v>328</v>
      </c>
      <c r="B69" s="131" t="s">
        <v>139</v>
      </c>
      <c r="C69" s="131">
        <v>600</v>
      </c>
      <c r="D69" s="143"/>
      <c r="E69" s="143"/>
      <c r="F69" s="143"/>
      <c r="G69" s="143"/>
    </row>
    <row r="70" spans="1:7" ht="15" customHeight="1" x14ac:dyDescent="0.25">
      <c r="A70" s="142" t="s">
        <v>97</v>
      </c>
      <c r="B70" s="218" t="s">
        <v>139</v>
      </c>
      <c r="C70" s="218">
        <v>610</v>
      </c>
      <c r="D70" s="216"/>
      <c r="E70" s="216"/>
      <c r="F70" s="216"/>
      <c r="G70" s="216"/>
    </row>
    <row r="71" spans="1:7" ht="15.75" customHeight="1" thickBot="1" x14ac:dyDescent="0.3">
      <c r="A71" s="141" t="s">
        <v>326</v>
      </c>
      <c r="B71" s="220"/>
      <c r="C71" s="220"/>
      <c r="D71" s="217"/>
      <c r="E71" s="217"/>
      <c r="F71" s="217"/>
      <c r="G71" s="217"/>
    </row>
    <row r="72" spans="1:7" ht="16.5" thickBot="1" x14ac:dyDescent="0.3">
      <c r="A72" s="128" t="s">
        <v>329</v>
      </c>
      <c r="B72" s="131"/>
      <c r="C72" s="131"/>
      <c r="D72" s="143"/>
      <c r="E72" s="143"/>
      <c r="F72" s="143"/>
      <c r="G72" s="143"/>
    </row>
    <row r="73" spans="1:7" ht="32.25" customHeight="1" thickBot="1" x14ac:dyDescent="0.3">
      <c r="A73" s="128" t="s">
        <v>330</v>
      </c>
      <c r="B73" s="131" t="s">
        <v>139</v>
      </c>
      <c r="C73" s="131" t="s">
        <v>139</v>
      </c>
      <c r="D73" s="143"/>
      <c r="E73" s="143"/>
      <c r="F73" s="143"/>
      <c r="G73" s="143"/>
    </row>
  </sheetData>
  <mergeCells count="82">
    <mergeCell ref="G70:G71"/>
    <mergeCell ref="B66:B67"/>
    <mergeCell ref="C66:C67"/>
    <mergeCell ref="D66:D67"/>
    <mergeCell ref="E66:E67"/>
    <mergeCell ref="F66:F67"/>
    <mergeCell ref="G66:G67"/>
    <mergeCell ref="B70:B71"/>
    <mergeCell ref="C70:C71"/>
    <mergeCell ref="D70:D71"/>
    <mergeCell ref="E70:E71"/>
    <mergeCell ref="F70:F71"/>
    <mergeCell ref="G57:G58"/>
    <mergeCell ref="B53:B54"/>
    <mergeCell ref="C53:C54"/>
    <mergeCell ref="D53:D54"/>
    <mergeCell ref="E53:E54"/>
    <mergeCell ref="F53:F54"/>
    <mergeCell ref="G53:G54"/>
    <mergeCell ref="B57:B58"/>
    <mergeCell ref="C57:C58"/>
    <mergeCell ref="D57:D58"/>
    <mergeCell ref="E57:E58"/>
    <mergeCell ref="F57:F58"/>
    <mergeCell ref="G38:G39"/>
    <mergeCell ref="B36:B37"/>
    <mergeCell ref="C36:C37"/>
    <mergeCell ref="D36:D37"/>
    <mergeCell ref="E36:E37"/>
    <mergeCell ref="F36:F37"/>
    <mergeCell ref="G36:G37"/>
    <mergeCell ref="B38:B39"/>
    <mergeCell ref="C38:C39"/>
    <mergeCell ref="D38:D39"/>
    <mergeCell ref="E38:E39"/>
    <mergeCell ref="F38:F39"/>
    <mergeCell ref="G31:G32"/>
    <mergeCell ref="B29:B30"/>
    <mergeCell ref="C29:C30"/>
    <mergeCell ref="D29:D30"/>
    <mergeCell ref="E29:E30"/>
    <mergeCell ref="F29:F30"/>
    <mergeCell ref="G29:G30"/>
    <mergeCell ref="B31:B32"/>
    <mergeCell ref="C31:C32"/>
    <mergeCell ref="D31:D32"/>
    <mergeCell ref="E31:E32"/>
    <mergeCell ref="F31:F32"/>
    <mergeCell ref="F19:F20"/>
    <mergeCell ref="G19:G20"/>
    <mergeCell ref="B27:B28"/>
    <mergeCell ref="C27:C28"/>
    <mergeCell ref="D27:D28"/>
    <mergeCell ref="E27:E28"/>
    <mergeCell ref="F27:F28"/>
    <mergeCell ref="G27:G28"/>
    <mergeCell ref="E19:E20"/>
    <mergeCell ref="A16:A17"/>
    <mergeCell ref="A19:A20"/>
    <mergeCell ref="B19:B20"/>
    <mergeCell ref="C19:C20"/>
    <mergeCell ref="D19:D20"/>
    <mergeCell ref="D12:D13"/>
    <mergeCell ref="G12:G13"/>
    <mergeCell ref="B15:B17"/>
    <mergeCell ref="C15:C17"/>
    <mergeCell ref="D15:D17"/>
    <mergeCell ref="E15:E17"/>
    <mergeCell ref="F15:F17"/>
    <mergeCell ref="G15:G17"/>
    <mergeCell ref="A1:G1"/>
    <mergeCell ref="A2:G2"/>
    <mergeCell ref="A4:A9"/>
    <mergeCell ref="B4:C4"/>
    <mergeCell ref="D4:G4"/>
    <mergeCell ref="B5:B9"/>
    <mergeCell ref="C5:C9"/>
    <mergeCell ref="D5:D9"/>
    <mergeCell ref="E5:G6"/>
    <mergeCell ref="E7:E9"/>
    <mergeCell ref="F7:F9"/>
    <mergeCell ref="G7:G9"/>
  </mergeCells>
  <pageMargins left="0.19685039370078741" right="0.19685039370078741" top="0" bottom="0" header="0.51181102362204722" footer="0.51181102362204722"/>
  <pageSetup paperSize="9" scale="48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34"/>
  <sheetViews>
    <sheetView topLeftCell="A121" workbookViewId="0">
      <selection activeCell="A143" sqref="A143"/>
    </sheetView>
  </sheetViews>
  <sheetFormatPr defaultRowHeight="15" x14ac:dyDescent="0.25"/>
  <cols>
    <col min="1" max="1" width="36.85546875" customWidth="1"/>
    <col min="4" max="4" width="15.42578125" customWidth="1"/>
    <col min="5" max="5" width="13.85546875" customWidth="1"/>
    <col min="6" max="6" width="14.42578125" customWidth="1"/>
    <col min="7" max="7" width="9.140625" hidden="1" customWidth="1"/>
    <col min="8" max="8" width="13.42578125" customWidth="1"/>
    <col min="9" max="9" width="12.85546875" customWidth="1"/>
    <col min="10" max="10" width="12.7109375" customWidth="1"/>
    <col min="11" max="11" width="0.140625" customWidth="1"/>
    <col min="12" max="12" width="14.28515625" customWidth="1"/>
    <col min="13" max="13" width="13.85546875" customWidth="1"/>
    <col min="14" max="14" width="14" customWidth="1"/>
  </cols>
  <sheetData>
    <row r="1" spans="1:14" ht="18.75" x14ac:dyDescent="0.25">
      <c r="A1" s="201" t="s">
        <v>83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</row>
    <row r="2" spans="1:14" ht="18.75" x14ac:dyDescent="0.25">
      <c r="A2" s="201" t="s">
        <v>343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</row>
    <row r="3" spans="1:14" x14ac:dyDescent="0.25">
      <c r="A3" s="48"/>
    </row>
    <row r="4" spans="1:14" ht="15" customHeight="1" x14ac:dyDescent="0.25">
      <c r="A4" s="231" t="s">
        <v>37</v>
      </c>
      <c r="B4" s="235" t="s">
        <v>84</v>
      </c>
      <c r="C4" s="235" t="s">
        <v>85</v>
      </c>
      <c r="D4" s="231" t="s">
        <v>86</v>
      </c>
      <c r="E4" s="231"/>
      <c r="F4" s="231"/>
      <c r="G4" s="231"/>
      <c r="H4" s="231"/>
      <c r="I4" s="231"/>
      <c r="J4" s="231"/>
      <c r="K4" s="231"/>
      <c r="L4" s="231"/>
      <c r="M4" s="231"/>
      <c r="N4" s="231"/>
    </row>
    <row r="5" spans="1:14" ht="15.75" customHeight="1" x14ac:dyDescent="0.25">
      <c r="A5" s="231"/>
      <c r="B5" s="235"/>
      <c r="C5" s="235"/>
      <c r="D5" s="231" t="s">
        <v>87</v>
      </c>
      <c r="E5" s="231"/>
      <c r="F5" s="231"/>
      <c r="G5" s="231"/>
      <c r="H5" s="231"/>
      <c r="I5" s="231"/>
      <c r="J5" s="231"/>
      <c r="K5" s="231"/>
      <c r="L5" s="231"/>
      <c r="M5" s="231"/>
      <c r="N5" s="231"/>
    </row>
    <row r="6" spans="1:14" ht="15.75" customHeight="1" x14ac:dyDescent="0.25">
      <c r="A6" s="231"/>
      <c r="B6" s="235"/>
      <c r="C6" s="235"/>
      <c r="D6" s="231" t="s">
        <v>88</v>
      </c>
      <c r="E6" s="231"/>
      <c r="F6" s="231"/>
      <c r="G6" s="231"/>
      <c r="H6" s="231" t="s">
        <v>38</v>
      </c>
      <c r="I6" s="231"/>
      <c r="J6" s="231"/>
      <c r="K6" s="231"/>
      <c r="L6" s="231"/>
      <c r="M6" s="231"/>
      <c r="N6" s="231"/>
    </row>
    <row r="7" spans="1:14" ht="37.5" customHeight="1" x14ac:dyDescent="0.25">
      <c r="A7" s="231"/>
      <c r="B7" s="235"/>
      <c r="C7" s="235"/>
      <c r="D7" s="231"/>
      <c r="E7" s="231"/>
      <c r="F7" s="231"/>
      <c r="G7" s="231"/>
      <c r="H7" s="231" t="s">
        <v>89</v>
      </c>
      <c r="I7" s="231"/>
      <c r="J7" s="231"/>
      <c r="K7" s="231"/>
      <c r="L7" s="231" t="s">
        <v>91</v>
      </c>
      <c r="M7" s="231"/>
      <c r="N7" s="231"/>
    </row>
    <row r="8" spans="1:14" ht="63.75" customHeight="1" x14ac:dyDescent="0.25">
      <c r="A8" s="231"/>
      <c r="B8" s="235"/>
      <c r="C8" s="235"/>
      <c r="D8" s="231"/>
      <c r="E8" s="231"/>
      <c r="F8" s="231"/>
      <c r="G8" s="231"/>
      <c r="H8" s="231" t="s">
        <v>90</v>
      </c>
      <c r="I8" s="231"/>
      <c r="J8" s="231"/>
      <c r="K8" s="231"/>
      <c r="L8" s="231"/>
      <c r="M8" s="231"/>
      <c r="N8" s="231"/>
    </row>
    <row r="9" spans="1:14" ht="19.5" customHeight="1" x14ac:dyDescent="0.25">
      <c r="A9" s="231"/>
      <c r="B9" s="235"/>
      <c r="C9" s="235"/>
      <c r="D9" s="233" t="s">
        <v>137</v>
      </c>
      <c r="E9" s="233" t="s">
        <v>215</v>
      </c>
      <c r="F9" s="233" t="s">
        <v>216</v>
      </c>
      <c r="G9" s="79" t="s">
        <v>92</v>
      </c>
      <c r="H9" s="233" t="s">
        <v>137</v>
      </c>
      <c r="I9" s="233" t="s">
        <v>215</v>
      </c>
      <c r="J9" s="233" t="s">
        <v>216</v>
      </c>
      <c r="K9" s="233" t="s">
        <v>138</v>
      </c>
      <c r="L9" s="233"/>
      <c r="M9" s="233" t="s">
        <v>217</v>
      </c>
      <c r="N9" s="233" t="s">
        <v>218</v>
      </c>
    </row>
    <row r="10" spans="1:14" ht="39.75" x14ac:dyDescent="0.25">
      <c r="A10" s="231"/>
      <c r="B10" s="235"/>
      <c r="C10" s="235"/>
      <c r="D10" s="233"/>
      <c r="E10" s="233"/>
      <c r="F10" s="233"/>
      <c r="G10" s="79" t="s">
        <v>93</v>
      </c>
      <c r="H10" s="233"/>
      <c r="I10" s="233"/>
      <c r="J10" s="233"/>
      <c r="K10" s="233"/>
      <c r="L10" s="233"/>
      <c r="M10" s="233"/>
      <c r="N10" s="233"/>
    </row>
    <row r="11" spans="1:14" ht="31.5" customHeight="1" x14ac:dyDescent="0.25">
      <c r="A11" s="231"/>
      <c r="B11" s="235"/>
      <c r="C11" s="235"/>
      <c r="D11" s="233"/>
      <c r="E11" s="233"/>
      <c r="F11" s="233"/>
      <c r="G11" s="79" t="s">
        <v>94</v>
      </c>
      <c r="H11" s="233"/>
      <c r="I11" s="233"/>
      <c r="J11" s="233"/>
      <c r="K11" s="233"/>
      <c r="L11" s="233"/>
      <c r="M11" s="233"/>
      <c r="N11" s="233"/>
    </row>
    <row r="12" spans="1:14" ht="15.75" x14ac:dyDescent="0.25">
      <c r="A12" s="156">
        <v>1</v>
      </c>
      <c r="B12" s="156">
        <v>2</v>
      </c>
      <c r="C12" s="156">
        <v>3</v>
      </c>
      <c r="D12" s="155">
        <v>4</v>
      </c>
      <c r="E12" s="155">
        <v>5</v>
      </c>
      <c r="F12" s="155">
        <v>6</v>
      </c>
      <c r="G12" s="230">
        <v>7</v>
      </c>
      <c r="H12" s="230"/>
      <c r="I12" s="155">
        <v>8</v>
      </c>
      <c r="J12" s="155">
        <v>9</v>
      </c>
      <c r="K12" s="230">
        <v>10</v>
      </c>
      <c r="L12" s="230"/>
      <c r="M12" s="155">
        <v>11</v>
      </c>
      <c r="N12" s="155">
        <v>12</v>
      </c>
    </row>
    <row r="13" spans="1:14" ht="54.75" customHeight="1" x14ac:dyDescent="0.25">
      <c r="A13" s="80" t="s">
        <v>95</v>
      </c>
      <c r="B13" s="156">
        <v>1</v>
      </c>
      <c r="C13" s="156" t="s">
        <v>40</v>
      </c>
      <c r="D13" s="153">
        <f>K13</f>
        <v>10720008.32</v>
      </c>
      <c r="E13" s="153">
        <f>M13</f>
        <v>11527006</v>
      </c>
      <c r="F13" s="153">
        <f>N13</f>
        <v>12025006</v>
      </c>
      <c r="G13" s="228">
        <f>G14+H38</f>
        <v>0</v>
      </c>
      <c r="H13" s="228"/>
      <c r="I13" s="153">
        <f>I14+I38</f>
        <v>0</v>
      </c>
      <c r="J13" s="153">
        <f>J14+J38</f>
        <v>0</v>
      </c>
      <c r="K13" s="228">
        <f>K14+L38</f>
        <v>10720008.32</v>
      </c>
      <c r="L13" s="228"/>
      <c r="M13" s="153">
        <f>M14+M38</f>
        <v>11527006</v>
      </c>
      <c r="N13" s="153">
        <f>N14+N38</f>
        <v>12025006</v>
      </c>
    </row>
    <row r="14" spans="1:14" ht="59.25" customHeight="1" x14ac:dyDescent="0.25">
      <c r="A14" s="81" t="s">
        <v>96</v>
      </c>
      <c r="B14" s="82">
        <v>1001</v>
      </c>
      <c r="C14" s="82"/>
      <c r="D14" s="154">
        <f>K14</f>
        <v>2198307.8699999996</v>
      </c>
      <c r="E14" s="154">
        <f>M14</f>
        <v>1898595</v>
      </c>
      <c r="F14" s="154">
        <f>N14</f>
        <v>1912595</v>
      </c>
      <c r="G14" s="229">
        <f>H16</f>
        <v>0</v>
      </c>
      <c r="H14" s="229"/>
      <c r="I14" s="154">
        <f>I16</f>
        <v>0</v>
      </c>
      <c r="J14" s="154">
        <f>J16</f>
        <v>0</v>
      </c>
      <c r="K14" s="229">
        <f>L16+L20+L29+L36</f>
        <v>2198307.8699999996</v>
      </c>
      <c r="L14" s="229"/>
      <c r="M14" s="154">
        <f>M16+M20+M29+M36</f>
        <v>1898595</v>
      </c>
      <c r="N14" s="160">
        <f>N16+N20+N29+N36</f>
        <v>1912595</v>
      </c>
    </row>
    <row r="15" spans="1:14" ht="15.75" x14ac:dyDescent="0.25">
      <c r="A15" s="81" t="s">
        <v>97</v>
      </c>
      <c r="B15" s="82" t="s">
        <v>40</v>
      </c>
      <c r="C15" s="82" t="s">
        <v>139</v>
      </c>
      <c r="D15" s="154" t="s">
        <v>139</v>
      </c>
      <c r="E15" s="154" t="s">
        <v>139</v>
      </c>
      <c r="F15" s="154" t="s">
        <v>139</v>
      </c>
      <c r="G15" s="229" t="s">
        <v>139</v>
      </c>
      <c r="H15" s="229"/>
      <c r="I15" s="154" t="s">
        <v>139</v>
      </c>
      <c r="J15" s="154" t="s">
        <v>139</v>
      </c>
      <c r="K15" s="229" t="s">
        <v>139</v>
      </c>
      <c r="L15" s="229"/>
      <c r="M15" s="154" t="s">
        <v>139</v>
      </c>
      <c r="N15" s="154" t="s">
        <v>139</v>
      </c>
    </row>
    <row r="16" spans="1:14" ht="15.75" x14ac:dyDescent="0.25">
      <c r="A16" s="83">
        <v>223</v>
      </c>
      <c r="B16" s="83"/>
      <c r="C16" s="83" t="s">
        <v>40</v>
      </c>
      <c r="D16" s="152">
        <f>L16</f>
        <v>1613130.5899999999</v>
      </c>
      <c r="E16" s="152">
        <f>M16</f>
        <v>1382395</v>
      </c>
      <c r="F16" s="152">
        <f>N16</f>
        <v>1382395</v>
      </c>
      <c r="G16" s="152">
        <f t="shared" ref="G16" si="0">SUM(G17:G19)</f>
        <v>0</v>
      </c>
      <c r="H16" s="152">
        <f>SUM(G17:H19)</f>
        <v>0</v>
      </c>
      <c r="I16" s="152">
        <f t="shared" ref="I16:N16" si="1">SUM(I17:I19)</f>
        <v>0</v>
      </c>
      <c r="J16" s="152">
        <f t="shared" si="1"/>
        <v>0</v>
      </c>
      <c r="K16" s="152">
        <f t="shared" si="1"/>
        <v>1613130.5899999999</v>
      </c>
      <c r="L16" s="152">
        <f>SUM(K17:L19)</f>
        <v>1613130.5899999999</v>
      </c>
      <c r="M16" s="152">
        <f>SUM(M17:M19)</f>
        <v>1382395</v>
      </c>
      <c r="N16" s="152">
        <f t="shared" si="1"/>
        <v>1382395</v>
      </c>
    </row>
    <row r="17" spans="1:14" ht="31.5" x14ac:dyDescent="0.25">
      <c r="A17" s="80" t="s">
        <v>221</v>
      </c>
      <c r="B17" s="156">
        <v>1002</v>
      </c>
      <c r="C17" s="156"/>
      <c r="D17" s="153">
        <f>K17</f>
        <v>46000</v>
      </c>
      <c r="E17" s="153">
        <f>M17</f>
        <v>46000</v>
      </c>
      <c r="F17" s="153">
        <f>N17</f>
        <v>46000</v>
      </c>
      <c r="G17" s="228"/>
      <c r="H17" s="228"/>
      <c r="I17" s="153"/>
      <c r="J17" s="153"/>
      <c r="K17" s="228">
        <v>46000</v>
      </c>
      <c r="L17" s="228"/>
      <c r="M17" s="153">
        <v>46000</v>
      </c>
      <c r="N17" s="153">
        <v>46000</v>
      </c>
    </row>
    <row r="18" spans="1:14" ht="34.5" customHeight="1" x14ac:dyDescent="0.25">
      <c r="A18" s="80" t="s">
        <v>222</v>
      </c>
      <c r="B18" s="156">
        <v>1003</v>
      </c>
      <c r="C18" s="156"/>
      <c r="D18" s="153">
        <f>K18</f>
        <v>864379.46</v>
      </c>
      <c r="E18" s="153">
        <f t="shared" ref="E18:F19" si="2">M18</f>
        <v>803070</v>
      </c>
      <c r="F18" s="153">
        <f t="shared" si="2"/>
        <v>803070</v>
      </c>
      <c r="G18" s="228"/>
      <c r="H18" s="228"/>
      <c r="I18" s="153"/>
      <c r="J18" s="153"/>
      <c r="K18" s="228">
        <f>828070+36309.46</f>
        <v>864379.46</v>
      </c>
      <c r="L18" s="228"/>
      <c r="M18" s="153">
        <v>803070</v>
      </c>
      <c r="N18" s="153">
        <v>803070</v>
      </c>
    </row>
    <row r="19" spans="1:14" ht="15.75" x14ac:dyDescent="0.25">
      <c r="A19" s="80" t="s">
        <v>223</v>
      </c>
      <c r="B19" s="156">
        <v>1004</v>
      </c>
      <c r="C19" s="156"/>
      <c r="D19" s="153">
        <f>K19</f>
        <v>702751.13</v>
      </c>
      <c r="E19" s="153">
        <f t="shared" si="2"/>
        <v>533325</v>
      </c>
      <c r="F19" s="153">
        <f t="shared" si="2"/>
        <v>533325</v>
      </c>
      <c r="G19" s="228"/>
      <c r="H19" s="228"/>
      <c r="I19" s="153"/>
      <c r="J19" s="166"/>
      <c r="K19" s="234">
        <f>533325+500+168926.13</f>
        <v>702751.13</v>
      </c>
      <c r="L19" s="234"/>
      <c r="M19" s="153">
        <v>533325</v>
      </c>
      <c r="N19" s="153">
        <v>533325</v>
      </c>
    </row>
    <row r="20" spans="1:14" ht="15.75" x14ac:dyDescent="0.25">
      <c r="A20" s="85">
        <v>225</v>
      </c>
      <c r="B20" s="85"/>
      <c r="C20" s="85"/>
      <c r="D20" s="86">
        <f t="shared" ref="D20:D21" si="3">L20</f>
        <v>351480.72</v>
      </c>
      <c r="E20" s="86">
        <f t="shared" ref="E20:K20" si="4">SUM(E38:E60)</f>
        <v>11508351</v>
      </c>
      <c r="F20" s="86">
        <f t="shared" si="4"/>
        <v>11766651</v>
      </c>
      <c r="G20" s="86">
        <f t="shared" si="4"/>
        <v>0</v>
      </c>
      <c r="H20" s="86">
        <f t="shared" si="4"/>
        <v>0</v>
      </c>
      <c r="I20" s="86">
        <f t="shared" si="4"/>
        <v>0</v>
      </c>
      <c r="J20" s="86">
        <f t="shared" si="4"/>
        <v>0</v>
      </c>
      <c r="K20" s="86">
        <f t="shared" si="4"/>
        <v>7088022.2999999998</v>
      </c>
      <c r="L20" s="86">
        <f>SUM(L21:L28)</f>
        <v>351480.72</v>
      </c>
      <c r="M20" s="86">
        <f t="shared" ref="M20:N20" si="5">SUM(M21:M28)</f>
        <v>359200</v>
      </c>
      <c r="N20" s="86">
        <f t="shared" si="5"/>
        <v>373200</v>
      </c>
    </row>
    <row r="21" spans="1:14" ht="15.75" x14ac:dyDescent="0.25">
      <c r="A21" s="87" t="s">
        <v>157</v>
      </c>
      <c r="B21" s="158">
        <v>1005</v>
      </c>
      <c r="C21" s="158"/>
      <c r="D21" s="159">
        <f t="shared" si="3"/>
        <v>16344.24</v>
      </c>
      <c r="E21" s="159">
        <f t="shared" ref="E21" si="6">M21</f>
        <v>16400</v>
      </c>
      <c r="F21" s="159">
        <f t="shared" ref="F21" si="7">N21</f>
        <v>17000</v>
      </c>
      <c r="G21" s="159"/>
      <c r="H21" s="159"/>
      <c r="I21" s="159"/>
      <c r="J21" s="159"/>
      <c r="K21" s="159"/>
      <c r="L21" s="159">
        <v>16344.24</v>
      </c>
      <c r="M21" s="159">
        <v>16400</v>
      </c>
      <c r="N21" s="159">
        <v>17000</v>
      </c>
    </row>
    <row r="22" spans="1:14" ht="15.75" x14ac:dyDescent="0.25">
      <c r="A22" s="84" t="s">
        <v>159</v>
      </c>
      <c r="B22" s="158">
        <f>B21+1</f>
        <v>1006</v>
      </c>
      <c r="C22" s="156"/>
      <c r="D22" s="153">
        <f>L22</f>
        <v>45000</v>
      </c>
      <c r="E22" s="153">
        <f>M22</f>
        <v>45000</v>
      </c>
      <c r="F22" s="153">
        <f>N22</f>
        <v>45000</v>
      </c>
      <c r="G22" s="153"/>
      <c r="H22" s="153"/>
      <c r="I22" s="153"/>
      <c r="J22" s="153"/>
      <c r="K22" s="153"/>
      <c r="L22" s="153">
        <v>45000</v>
      </c>
      <c r="M22" s="153">
        <v>45000</v>
      </c>
      <c r="N22" s="153">
        <v>45000</v>
      </c>
    </row>
    <row r="23" spans="1:14" ht="31.5" x14ac:dyDescent="0.25">
      <c r="A23" s="84" t="s">
        <v>153</v>
      </c>
      <c r="B23" s="158">
        <f t="shared" ref="B23:B28" si="8">B22+1</f>
        <v>1007</v>
      </c>
      <c r="C23" s="158"/>
      <c r="D23" s="159">
        <f t="shared" ref="D23:D34" si="9">L23</f>
        <v>16014.96</v>
      </c>
      <c r="E23" s="159">
        <f t="shared" ref="E23:E26" si="10">M23</f>
        <v>18000</v>
      </c>
      <c r="F23" s="159">
        <f t="shared" ref="F23:F26" si="11">N23</f>
        <v>18000</v>
      </c>
      <c r="G23" s="159"/>
      <c r="H23" s="159"/>
      <c r="I23" s="159"/>
      <c r="J23" s="159"/>
      <c r="K23" s="159"/>
      <c r="L23" s="159">
        <v>16014.96</v>
      </c>
      <c r="M23" s="159">
        <v>18000</v>
      </c>
      <c r="N23" s="159">
        <v>18000</v>
      </c>
    </row>
    <row r="24" spans="1:14" ht="31.5" x14ac:dyDescent="0.25">
      <c r="A24" s="84" t="s">
        <v>152</v>
      </c>
      <c r="B24" s="158">
        <f t="shared" si="8"/>
        <v>1008</v>
      </c>
      <c r="C24" s="158"/>
      <c r="D24" s="159">
        <f t="shared" si="9"/>
        <v>47921.52</v>
      </c>
      <c r="E24" s="159">
        <f t="shared" si="10"/>
        <v>49000</v>
      </c>
      <c r="F24" s="159">
        <f t="shared" si="11"/>
        <v>49000</v>
      </c>
      <c r="G24" s="159"/>
      <c r="H24" s="159"/>
      <c r="I24" s="159"/>
      <c r="J24" s="159"/>
      <c r="K24" s="159"/>
      <c r="L24" s="159">
        <v>47921.52</v>
      </c>
      <c r="M24" s="159">
        <v>49000</v>
      </c>
      <c r="N24" s="159">
        <v>49000</v>
      </c>
    </row>
    <row r="25" spans="1:14" ht="33" customHeight="1" x14ac:dyDescent="0.25">
      <c r="A25" s="87" t="s">
        <v>166</v>
      </c>
      <c r="B25" s="158">
        <f t="shared" si="8"/>
        <v>1009</v>
      </c>
      <c r="C25" s="158"/>
      <c r="D25" s="159">
        <f t="shared" si="9"/>
        <v>65400</v>
      </c>
      <c r="E25" s="159">
        <f t="shared" si="10"/>
        <v>70000</v>
      </c>
      <c r="F25" s="159">
        <f t="shared" si="11"/>
        <v>80400</v>
      </c>
      <c r="G25" s="159"/>
      <c r="H25" s="159"/>
      <c r="I25" s="159"/>
      <c r="J25" s="159"/>
      <c r="K25" s="159"/>
      <c r="L25" s="159">
        <v>65400</v>
      </c>
      <c r="M25" s="159">
        <v>70000</v>
      </c>
      <c r="N25" s="159">
        <v>80400</v>
      </c>
    </row>
    <row r="26" spans="1:14" ht="33.75" customHeight="1" x14ac:dyDescent="0.25">
      <c r="A26" s="87" t="s">
        <v>167</v>
      </c>
      <c r="B26" s="158">
        <f t="shared" si="8"/>
        <v>1010</v>
      </c>
      <c r="C26" s="158"/>
      <c r="D26" s="159">
        <f t="shared" si="9"/>
        <v>72000</v>
      </c>
      <c r="E26" s="159">
        <f t="shared" si="10"/>
        <v>72000</v>
      </c>
      <c r="F26" s="159">
        <f t="shared" si="11"/>
        <v>73000</v>
      </c>
      <c r="G26" s="159"/>
      <c r="H26" s="159"/>
      <c r="I26" s="159"/>
      <c r="J26" s="159"/>
      <c r="K26" s="159"/>
      <c r="L26" s="159">
        <v>72000</v>
      </c>
      <c r="M26" s="159">
        <v>72000</v>
      </c>
      <c r="N26" s="159">
        <v>73000</v>
      </c>
    </row>
    <row r="27" spans="1:14" ht="47.25" x14ac:dyDescent="0.25">
      <c r="A27" s="84" t="s">
        <v>161</v>
      </c>
      <c r="B27" s="158">
        <f t="shared" si="8"/>
        <v>1011</v>
      </c>
      <c r="C27" s="156"/>
      <c r="D27" s="153">
        <f t="shared" ref="D27:F28" si="12">L27</f>
        <v>33000</v>
      </c>
      <c r="E27" s="153">
        <f t="shared" si="12"/>
        <v>33000</v>
      </c>
      <c r="F27" s="153">
        <f t="shared" si="12"/>
        <v>33000</v>
      </c>
      <c r="G27" s="153"/>
      <c r="H27" s="153"/>
      <c r="I27" s="153"/>
      <c r="J27" s="153"/>
      <c r="K27" s="153"/>
      <c r="L27" s="153">
        <v>33000</v>
      </c>
      <c r="M27" s="153">
        <v>33000</v>
      </c>
      <c r="N27" s="153">
        <v>33000</v>
      </c>
    </row>
    <row r="28" spans="1:14" ht="51" customHeight="1" x14ac:dyDescent="0.25">
      <c r="A28" s="84" t="s">
        <v>154</v>
      </c>
      <c r="B28" s="158">
        <f t="shared" si="8"/>
        <v>1012</v>
      </c>
      <c r="C28" s="156"/>
      <c r="D28" s="153">
        <f t="shared" si="12"/>
        <v>55800</v>
      </c>
      <c r="E28" s="153">
        <f t="shared" si="12"/>
        <v>55800</v>
      </c>
      <c r="F28" s="153">
        <f t="shared" si="12"/>
        <v>57800</v>
      </c>
      <c r="G28" s="153"/>
      <c r="H28" s="153"/>
      <c r="I28" s="153"/>
      <c r="J28" s="153"/>
      <c r="K28" s="153"/>
      <c r="L28" s="153">
        <v>55800</v>
      </c>
      <c r="M28" s="153">
        <v>55800</v>
      </c>
      <c r="N28" s="153">
        <v>57800</v>
      </c>
    </row>
    <row r="29" spans="1:14" ht="15.75" x14ac:dyDescent="0.25">
      <c r="A29" s="88">
        <v>226</v>
      </c>
      <c r="B29" s="88"/>
      <c r="C29" s="88"/>
      <c r="D29" s="161">
        <f t="shared" si="9"/>
        <v>173696.56</v>
      </c>
      <c r="E29" s="86">
        <f>M29</f>
        <v>97000</v>
      </c>
      <c r="F29" s="86">
        <f>N29</f>
        <v>97000</v>
      </c>
      <c r="G29" s="86">
        <f>SUM(G36:G60)</f>
        <v>0</v>
      </c>
      <c r="H29" s="86">
        <f>SUM(H36:H60)</f>
        <v>0</v>
      </c>
      <c r="I29" s="86">
        <f>SUM(I36:I60)</f>
        <v>0</v>
      </c>
      <c r="J29" s="86">
        <f>SUM(J36:J60)</f>
        <v>0</v>
      </c>
      <c r="K29" s="86">
        <f>SUM(K36:K60)</f>
        <v>14176044.6</v>
      </c>
      <c r="L29" s="86">
        <f>SUM(L30:L35)</f>
        <v>173696.56</v>
      </c>
      <c r="M29" s="86">
        <f t="shared" ref="M29:N29" si="13">SUM(M30:M35)</f>
        <v>97000</v>
      </c>
      <c r="N29" s="86">
        <f t="shared" si="13"/>
        <v>97000</v>
      </c>
    </row>
    <row r="30" spans="1:14" ht="39" customHeight="1" x14ac:dyDescent="0.25">
      <c r="A30" s="87" t="s">
        <v>181</v>
      </c>
      <c r="B30" s="158">
        <v>1013</v>
      </c>
      <c r="C30" s="158"/>
      <c r="D30" s="159">
        <f t="shared" si="9"/>
        <v>66580.800000000003</v>
      </c>
      <c r="E30" s="159">
        <f t="shared" ref="E30:E34" si="14">M30</f>
        <v>67000</v>
      </c>
      <c r="F30" s="159">
        <f t="shared" ref="F30:F34" si="15">N30</f>
        <v>67000</v>
      </c>
      <c r="G30" s="159"/>
      <c r="H30" s="159"/>
      <c r="I30" s="159"/>
      <c r="J30" s="159"/>
      <c r="K30" s="159"/>
      <c r="L30" s="159">
        <v>66580.800000000003</v>
      </c>
      <c r="M30" s="159">
        <v>67000</v>
      </c>
      <c r="N30" s="159">
        <v>67000</v>
      </c>
    </row>
    <row r="31" spans="1:14" ht="18" customHeight="1" x14ac:dyDescent="0.25">
      <c r="A31" s="87" t="s">
        <v>188</v>
      </c>
      <c r="B31" s="158">
        <f>B30+1</f>
        <v>1014</v>
      </c>
      <c r="C31" s="158"/>
      <c r="D31" s="159">
        <f t="shared" si="9"/>
        <v>5970.6</v>
      </c>
      <c r="E31" s="159">
        <f t="shared" si="14"/>
        <v>6000</v>
      </c>
      <c r="F31" s="159">
        <f t="shared" si="15"/>
        <v>6000</v>
      </c>
      <c r="G31" s="159"/>
      <c r="H31" s="159"/>
      <c r="I31" s="159"/>
      <c r="J31" s="159"/>
      <c r="K31" s="159"/>
      <c r="L31" s="159">
        <v>5970.6</v>
      </c>
      <c r="M31" s="159">
        <v>6000</v>
      </c>
      <c r="N31" s="159">
        <v>6000</v>
      </c>
    </row>
    <row r="32" spans="1:14" ht="33.75" customHeight="1" x14ac:dyDescent="0.25">
      <c r="A32" s="87" t="s">
        <v>193</v>
      </c>
      <c r="B32" s="158">
        <f t="shared" ref="B32:B35" si="16">B31+1</f>
        <v>1015</v>
      </c>
      <c r="C32" s="158"/>
      <c r="D32" s="159">
        <f t="shared" si="9"/>
        <v>52745</v>
      </c>
      <c r="E32" s="159">
        <f t="shared" si="14"/>
        <v>0</v>
      </c>
      <c r="F32" s="159">
        <f t="shared" si="15"/>
        <v>0</v>
      </c>
      <c r="G32" s="159"/>
      <c r="H32" s="159"/>
      <c r="I32" s="159"/>
      <c r="J32" s="159"/>
      <c r="K32" s="159"/>
      <c r="L32" s="159">
        <v>52745</v>
      </c>
      <c r="M32" s="159">
        <v>0</v>
      </c>
      <c r="N32" s="159">
        <v>0</v>
      </c>
    </row>
    <row r="33" spans="1:14" ht="15.75" x14ac:dyDescent="0.25">
      <c r="A33" s="87" t="s">
        <v>226</v>
      </c>
      <c r="B33" s="158">
        <f t="shared" si="16"/>
        <v>1016</v>
      </c>
      <c r="C33" s="158"/>
      <c r="D33" s="159">
        <f t="shared" si="9"/>
        <v>22360.16</v>
      </c>
      <c r="E33" s="159">
        <f t="shared" si="14"/>
        <v>0</v>
      </c>
      <c r="F33" s="159">
        <f t="shared" si="15"/>
        <v>0</v>
      </c>
      <c r="G33" s="159"/>
      <c r="H33" s="159"/>
      <c r="I33" s="159"/>
      <c r="J33" s="159"/>
      <c r="K33" s="159"/>
      <c r="L33" s="159">
        <f>12620.16+9740</f>
        <v>22360.16</v>
      </c>
      <c r="M33" s="159">
        <v>0</v>
      </c>
      <c r="N33" s="159">
        <v>0</v>
      </c>
    </row>
    <row r="34" spans="1:14" ht="21.75" customHeight="1" x14ac:dyDescent="0.25">
      <c r="A34" s="87" t="s">
        <v>190</v>
      </c>
      <c r="B34" s="158">
        <f t="shared" si="16"/>
        <v>1017</v>
      </c>
      <c r="C34" s="158"/>
      <c r="D34" s="159">
        <f t="shared" si="9"/>
        <v>2040</v>
      </c>
      <c r="E34" s="159">
        <f t="shared" si="14"/>
        <v>0</v>
      </c>
      <c r="F34" s="159">
        <f t="shared" si="15"/>
        <v>0</v>
      </c>
      <c r="G34" s="159"/>
      <c r="H34" s="159"/>
      <c r="I34" s="159"/>
      <c r="J34" s="159"/>
      <c r="K34" s="159"/>
      <c r="L34" s="159">
        <v>2040</v>
      </c>
      <c r="M34" s="159">
        <v>0</v>
      </c>
      <c r="N34" s="159">
        <v>0</v>
      </c>
    </row>
    <row r="35" spans="1:14" ht="52.5" customHeight="1" x14ac:dyDescent="0.25">
      <c r="A35" s="87" t="s">
        <v>187</v>
      </c>
      <c r="B35" s="158">
        <f t="shared" si="16"/>
        <v>1018</v>
      </c>
      <c r="C35" s="156"/>
      <c r="D35" s="153">
        <f>L35</f>
        <v>24000</v>
      </c>
      <c r="E35" s="153">
        <f>M35</f>
        <v>24000</v>
      </c>
      <c r="F35" s="153">
        <f>N35</f>
        <v>24000</v>
      </c>
      <c r="G35" s="153"/>
      <c r="H35" s="153"/>
      <c r="I35" s="153"/>
      <c r="J35" s="153"/>
      <c r="K35" s="153"/>
      <c r="L35" s="153">
        <v>24000</v>
      </c>
      <c r="M35" s="153">
        <v>24000</v>
      </c>
      <c r="N35" s="153">
        <v>24000</v>
      </c>
    </row>
    <row r="36" spans="1:14" ht="19.5" customHeight="1" x14ac:dyDescent="0.25">
      <c r="A36" s="85">
        <v>340</v>
      </c>
      <c r="B36" s="85"/>
      <c r="C36" s="85"/>
      <c r="D36" s="161">
        <f t="shared" ref="D36:D37" si="17">L36</f>
        <v>60000</v>
      </c>
      <c r="E36" s="86">
        <f t="shared" ref="E36:E37" si="18">M36</f>
        <v>60000</v>
      </c>
      <c r="F36" s="86">
        <f t="shared" ref="F36:F37" si="19">N36</f>
        <v>60000</v>
      </c>
      <c r="G36" s="86">
        <f t="shared" ref="G36:K36" si="20">SUM(G38:G49)</f>
        <v>0</v>
      </c>
      <c r="H36" s="86">
        <f t="shared" si="20"/>
        <v>0</v>
      </c>
      <c r="I36" s="86">
        <f t="shared" si="20"/>
        <v>0</v>
      </c>
      <c r="J36" s="86">
        <f t="shared" si="20"/>
        <v>0</v>
      </c>
      <c r="K36" s="86">
        <f t="shared" si="20"/>
        <v>7088022.2999999998</v>
      </c>
      <c r="L36" s="86">
        <f>SUM(L37)</f>
        <v>60000</v>
      </c>
      <c r="M36" s="86">
        <f t="shared" ref="M36:N36" si="21">SUM(M37)</f>
        <v>60000</v>
      </c>
      <c r="N36" s="86">
        <f t="shared" si="21"/>
        <v>60000</v>
      </c>
    </row>
    <row r="37" spans="1:14" ht="20.25" customHeight="1" x14ac:dyDescent="0.25">
      <c r="A37" s="89" t="s">
        <v>210</v>
      </c>
      <c r="B37" s="158">
        <v>1019</v>
      </c>
      <c r="C37" s="158"/>
      <c r="D37" s="159">
        <f t="shared" si="17"/>
        <v>60000</v>
      </c>
      <c r="E37" s="159">
        <f t="shared" si="18"/>
        <v>60000</v>
      </c>
      <c r="F37" s="159">
        <f t="shared" si="19"/>
        <v>60000</v>
      </c>
      <c r="G37" s="159"/>
      <c r="H37" s="159"/>
      <c r="I37" s="159"/>
      <c r="J37" s="159"/>
      <c r="K37" s="159"/>
      <c r="L37" s="159">
        <v>60000</v>
      </c>
      <c r="M37" s="159">
        <v>60000</v>
      </c>
      <c r="N37" s="159">
        <v>60000</v>
      </c>
    </row>
    <row r="38" spans="1:14" ht="35.25" customHeight="1" x14ac:dyDescent="0.25">
      <c r="A38" s="81" t="s">
        <v>98</v>
      </c>
      <c r="B38" s="82">
        <v>2001</v>
      </c>
      <c r="C38" s="82"/>
      <c r="D38" s="154">
        <f>L38</f>
        <v>8521700.4500000011</v>
      </c>
      <c r="E38" s="154">
        <f>M38</f>
        <v>9628411</v>
      </c>
      <c r="F38" s="154">
        <f>N38</f>
        <v>10112411</v>
      </c>
      <c r="G38" s="154">
        <f>G42+G47+G76+G109+G111</f>
        <v>0</v>
      </c>
      <c r="H38" s="154">
        <f>H42+H47+H76+H109+H111</f>
        <v>0</v>
      </c>
      <c r="I38" s="164">
        <f>I42+I47+I76+I109+I111</f>
        <v>0</v>
      </c>
      <c r="J38" s="154">
        <f>J42+J47+J76+J109+J111</f>
        <v>0</v>
      </c>
      <c r="K38" s="154">
        <f>K42+L47+L76+L109+L111</f>
        <v>6649620.4500000002</v>
      </c>
      <c r="L38" s="154">
        <f>K40+K42+L47+L71+L76+L109+L111</f>
        <v>8521700.4500000011</v>
      </c>
      <c r="M38" s="165">
        <f>M40+M42+M47+M71+M76+M109+M111</f>
        <v>9628411</v>
      </c>
      <c r="N38" s="154">
        <f>M40+M42+N47+N71+N76+N109+N111</f>
        <v>10112411</v>
      </c>
    </row>
    <row r="39" spans="1:14" ht="15.75" x14ac:dyDescent="0.25">
      <c r="A39" s="81" t="s">
        <v>97</v>
      </c>
      <c r="B39" s="82" t="s">
        <v>40</v>
      </c>
      <c r="C39" s="82" t="s">
        <v>139</v>
      </c>
      <c r="D39" s="154" t="s">
        <v>139</v>
      </c>
      <c r="E39" s="154" t="s">
        <v>139</v>
      </c>
      <c r="F39" s="154" t="s">
        <v>139</v>
      </c>
      <c r="G39" s="229" t="s">
        <v>139</v>
      </c>
      <c r="H39" s="229"/>
      <c r="I39" s="154" t="s">
        <v>139</v>
      </c>
      <c r="J39" s="167" t="s">
        <v>139</v>
      </c>
      <c r="K39" s="232" t="s">
        <v>139</v>
      </c>
      <c r="L39" s="232"/>
      <c r="M39" s="154" t="s">
        <v>139</v>
      </c>
      <c r="N39" s="154" t="s">
        <v>139</v>
      </c>
    </row>
    <row r="40" spans="1:14" ht="15.75" x14ac:dyDescent="0.25">
      <c r="A40" s="83">
        <v>222</v>
      </c>
      <c r="B40" s="83"/>
      <c r="C40" s="83"/>
      <c r="D40" s="152">
        <f>K40</f>
        <v>0</v>
      </c>
      <c r="E40" s="152">
        <f>E41</f>
        <v>159000</v>
      </c>
      <c r="F40" s="152">
        <f>N40</f>
        <v>159000</v>
      </c>
      <c r="G40" s="152"/>
      <c r="H40" s="152">
        <f>SUM(G41:H43)</f>
        <v>0</v>
      </c>
      <c r="I40" s="152">
        <f t="shared" ref="I40:J40" si="22">SUM(H41:I43)</f>
        <v>0</v>
      </c>
      <c r="J40" s="152">
        <f t="shared" si="22"/>
        <v>0</v>
      </c>
      <c r="K40" s="227">
        <f>K41</f>
        <v>0</v>
      </c>
      <c r="L40" s="227"/>
      <c r="M40" s="152">
        <f>M41</f>
        <v>159000</v>
      </c>
      <c r="N40" s="152">
        <f>N41</f>
        <v>159000</v>
      </c>
    </row>
    <row r="41" spans="1:14" ht="21.75" customHeight="1" x14ac:dyDescent="0.25">
      <c r="A41" s="84" t="s">
        <v>46</v>
      </c>
      <c r="B41" s="156">
        <v>2002</v>
      </c>
      <c r="C41" s="156">
        <v>2017</v>
      </c>
      <c r="D41" s="153">
        <f>K41</f>
        <v>0</v>
      </c>
      <c r="E41" s="153">
        <f>M41</f>
        <v>159000</v>
      </c>
      <c r="F41" s="153">
        <f>N41</f>
        <v>159000</v>
      </c>
      <c r="G41" s="228"/>
      <c r="H41" s="228"/>
      <c r="I41" s="153"/>
      <c r="J41" s="153"/>
      <c r="K41" s="228">
        <f>159000-159000</f>
        <v>0</v>
      </c>
      <c r="L41" s="228"/>
      <c r="M41" s="153">
        <v>159000</v>
      </c>
      <c r="N41" s="153">
        <v>159000</v>
      </c>
    </row>
    <row r="42" spans="1:14" ht="15.75" x14ac:dyDescent="0.25">
      <c r="A42" s="83">
        <v>221</v>
      </c>
      <c r="B42" s="83"/>
      <c r="C42" s="83"/>
      <c r="D42" s="152">
        <f>K42</f>
        <v>313401.84999999998</v>
      </c>
      <c r="E42" s="152">
        <f>SUM(E43:E45)</f>
        <v>312000</v>
      </c>
      <c r="F42" s="152">
        <f>SUM(F43:F45)</f>
        <v>312000</v>
      </c>
      <c r="G42" s="152"/>
      <c r="H42" s="152">
        <f>SUM(G43:H45)</f>
        <v>0</v>
      </c>
      <c r="I42" s="152">
        <f t="shared" ref="I42:J42" si="23">SUM(H43:I45)</f>
        <v>0</v>
      </c>
      <c r="J42" s="152">
        <f t="shared" si="23"/>
        <v>0</v>
      </c>
      <c r="K42" s="227">
        <f>SUM(K43:L46)</f>
        <v>313401.84999999998</v>
      </c>
      <c r="L42" s="227"/>
      <c r="M42" s="152">
        <f>SUM(M43:M46)</f>
        <v>312000</v>
      </c>
      <c r="N42" s="152">
        <f>SUM(N43:N46)</f>
        <v>312000</v>
      </c>
    </row>
    <row r="43" spans="1:14" ht="31.5" x14ac:dyDescent="0.25">
      <c r="A43" s="84" t="s">
        <v>140</v>
      </c>
      <c r="B43" s="156">
        <v>2003</v>
      </c>
      <c r="C43" s="156">
        <v>2017</v>
      </c>
      <c r="D43" s="153">
        <f>K43</f>
        <v>125000</v>
      </c>
      <c r="E43" s="153">
        <f>M43</f>
        <v>132000</v>
      </c>
      <c r="F43" s="153">
        <f>N43</f>
        <v>132000</v>
      </c>
      <c r="G43" s="228"/>
      <c r="H43" s="228"/>
      <c r="I43" s="153"/>
      <c r="J43" s="153"/>
      <c r="K43" s="228">
        <v>125000</v>
      </c>
      <c r="L43" s="228"/>
      <c r="M43" s="153">
        <v>132000</v>
      </c>
      <c r="N43" s="153">
        <v>132000</v>
      </c>
    </row>
    <row r="44" spans="1:14" ht="31.5" x14ac:dyDescent="0.25">
      <c r="A44" s="84" t="s">
        <v>141</v>
      </c>
      <c r="B44" s="156">
        <v>2004</v>
      </c>
      <c r="C44" s="156">
        <v>2017</v>
      </c>
      <c r="D44" s="153">
        <f t="shared" ref="D44:D79" si="24">L44</f>
        <v>178000</v>
      </c>
      <c r="E44" s="153">
        <f t="shared" ref="E44:E46" si="25">M44</f>
        <v>178000</v>
      </c>
      <c r="F44" s="153">
        <f t="shared" ref="F44:F46" si="26">N44</f>
        <v>178000</v>
      </c>
      <c r="G44" s="153"/>
      <c r="H44" s="153"/>
      <c r="I44" s="153"/>
      <c r="J44" s="153"/>
      <c r="K44" s="153"/>
      <c r="L44" s="153">
        <v>178000</v>
      </c>
      <c r="M44" s="153">
        <v>178000</v>
      </c>
      <c r="N44" s="153">
        <v>178000</v>
      </c>
    </row>
    <row r="45" spans="1:14" ht="51" customHeight="1" x14ac:dyDescent="0.25">
      <c r="A45" s="84" t="s">
        <v>142</v>
      </c>
      <c r="B45" s="156">
        <v>2005</v>
      </c>
      <c r="C45" s="156">
        <v>2017</v>
      </c>
      <c r="D45" s="153">
        <f t="shared" si="24"/>
        <v>4000</v>
      </c>
      <c r="E45" s="153">
        <f t="shared" si="25"/>
        <v>2000</v>
      </c>
      <c r="F45" s="153">
        <f t="shared" si="26"/>
        <v>2000</v>
      </c>
      <c r="G45" s="153"/>
      <c r="H45" s="153"/>
      <c r="I45" s="153"/>
      <c r="J45" s="153"/>
      <c r="K45" s="153"/>
      <c r="L45" s="153">
        <v>4000</v>
      </c>
      <c r="M45" s="153">
        <v>2000</v>
      </c>
      <c r="N45" s="153">
        <v>2000</v>
      </c>
    </row>
    <row r="46" spans="1:14" ht="21" customHeight="1" x14ac:dyDescent="0.25">
      <c r="A46" s="84" t="s">
        <v>342</v>
      </c>
      <c r="B46" s="156"/>
      <c r="C46" s="156">
        <v>2017</v>
      </c>
      <c r="D46" s="153">
        <f t="shared" si="24"/>
        <v>6401.8499999999995</v>
      </c>
      <c r="E46" s="153">
        <f t="shared" si="25"/>
        <v>0</v>
      </c>
      <c r="F46" s="153">
        <f t="shared" si="26"/>
        <v>0</v>
      </c>
      <c r="G46" s="153"/>
      <c r="H46" s="153"/>
      <c r="I46" s="153"/>
      <c r="J46" s="153"/>
      <c r="K46" s="153"/>
      <c r="L46" s="153">
        <f>5000+1349.79+24.66+27.4</f>
        <v>6401.8499999999995</v>
      </c>
      <c r="M46" s="153">
        <v>0</v>
      </c>
      <c r="N46" s="153">
        <v>0</v>
      </c>
    </row>
    <row r="47" spans="1:14" ht="15.75" x14ac:dyDescent="0.25">
      <c r="A47" s="85">
        <v>225</v>
      </c>
      <c r="B47" s="85"/>
      <c r="C47" s="85"/>
      <c r="D47" s="86">
        <f t="shared" si="24"/>
        <v>682290.35000000009</v>
      </c>
      <c r="E47" s="86">
        <f t="shared" ref="E47:N47" si="27">SUM(E48:E70)</f>
        <v>759270</v>
      </c>
      <c r="F47" s="86">
        <f t="shared" si="27"/>
        <v>546270</v>
      </c>
      <c r="G47" s="86">
        <f t="shared" si="27"/>
        <v>0</v>
      </c>
      <c r="H47" s="86">
        <f t="shared" si="27"/>
        <v>0</v>
      </c>
      <c r="I47" s="86">
        <f t="shared" si="27"/>
        <v>0</v>
      </c>
      <c r="J47" s="86">
        <f t="shared" si="27"/>
        <v>0</v>
      </c>
      <c r="K47" s="86">
        <f t="shared" si="27"/>
        <v>0</v>
      </c>
      <c r="L47" s="86">
        <f t="shared" si="27"/>
        <v>682290.35000000009</v>
      </c>
      <c r="M47" s="86">
        <f t="shared" si="27"/>
        <v>759270</v>
      </c>
      <c r="N47" s="86">
        <f t="shared" si="27"/>
        <v>546270</v>
      </c>
    </row>
    <row r="48" spans="1:14" ht="15.75" x14ac:dyDescent="0.25">
      <c r="A48" s="84" t="s">
        <v>143</v>
      </c>
      <c r="B48" s="156">
        <v>2006</v>
      </c>
      <c r="C48" s="156">
        <v>2017</v>
      </c>
      <c r="D48" s="153">
        <f>L48</f>
        <v>4000</v>
      </c>
      <c r="E48" s="153">
        <f>M48</f>
        <v>4000</v>
      </c>
      <c r="F48" s="153">
        <f>N48</f>
        <v>4000</v>
      </c>
      <c r="G48" s="153"/>
      <c r="H48" s="153"/>
      <c r="I48" s="153"/>
      <c r="J48" s="153"/>
      <c r="K48" s="153"/>
      <c r="L48" s="153">
        <v>4000</v>
      </c>
      <c r="M48" s="153">
        <v>4000</v>
      </c>
      <c r="N48" s="153">
        <v>4000</v>
      </c>
    </row>
    <row r="49" spans="1:14" ht="15.75" x14ac:dyDescent="0.25">
      <c r="A49" s="84" t="s">
        <v>144</v>
      </c>
      <c r="B49" s="156">
        <f>B48+1</f>
        <v>2007</v>
      </c>
      <c r="C49" s="156">
        <v>2017</v>
      </c>
      <c r="D49" s="153">
        <f t="shared" si="24"/>
        <v>4000</v>
      </c>
      <c r="E49" s="153">
        <f t="shared" ref="E49:E70" si="28">M49</f>
        <v>4000</v>
      </c>
      <c r="F49" s="153">
        <f t="shared" ref="F49:F70" si="29">N49</f>
        <v>4000</v>
      </c>
      <c r="G49" s="153"/>
      <c r="H49" s="153"/>
      <c r="I49" s="153"/>
      <c r="J49" s="153"/>
      <c r="K49" s="153"/>
      <c r="L49" s="153">
        <v>4000</v>
      </c>
      <c r="M49" s="153">
        <v>4000</v>
      </c>
      <c r="N49" s="153">
        <v>4000</v>
      </c>
    </row>
    <row r="50" spans="1:14" ht="15.75" x14ac:dyDescent="0.25">
      <c r="A50" s="84" t="s">
        <v>145</v>
      </c>
      <c r="B50" s="158">
        <f t="shared" ref="B50:B70" si="30">B49+1</f>
        <v>2008</v>
      </c>
      <c r="C50" s="156">
        <v>2017</v>
      </c>
      <c r="D50" s="153">
        <f>L50</f>
        <v>16000</v>
      </c>
      <c r="E50" s="153">
        <f t="shared" si="28"/>
        <v>21670</v>
      </c>
      <c r="F50" s="153">
        <f t="shared" si="29"/>
        <v>21670</v>
      </c>
      <c r="G50" s="153"/>
      <c r="H50" s="153"/>
      <c r="I50" s="153"/>
      <c r="J50" s="153"/>
      <c r="K50" s="153"/>
      <c r="L50" s="153">
        <f>16000</f>
        <v>16000</v>
      </c>
      <c r="M50" s="153">
        <f t="shared" ref="M50:N50" si="31">16000+5670</f>
        <v>21670</v>
      </c>
      <c r="N50" s="153">
        <f t="shared" si="31"/>
        <v>21670</v>
      </c>
    </row>
    <row r="51" spans="1:14" ht="15.75" x14ac:dyDescent="0.25">
      <c r="A51" s="84" t="s">
        <v>146</v>
      </c>
      <c r="B51" s="158">
        <f t="shared" si="30"/>
        <v>2009</v>
      </c>
      <c r="C51" s="156">
        <v>2017</v>
      </c>
      <c r="D51" s="153">
        <f t="shared" si="24"/>
        <v>5000</v>
      </c>
      <c r="E51" s="153">
        <f t="shared" si="28"/>
        <v>5000</v>
      </c>
      <c r="F51" s="153">
        <f t="shared" si="29"/>
        <v>5400</v>
      </c>
      <c r="G51" s="153"/>
      <c r="H51" s="153"/>
      <c r="I51" s="153"/>
      <c r="J51" s="153"/>
      <c r="K51" s="153"/>
      <c r="L51" s="153">
        <v>5000</v>
      </c>
      <c r="M51" s="153">
        <v>5000</v>
      </c>
      <c r="N51" s="153">
        <v>5400</v>
      </c>
    </row>
    <row r="52" spans="1:14" ht="15.75" x14ac:dyDescent="0.25">
      <c r="A52" s="84" t="s">
        <v>147</v>
      </c>
      <c r="B52" s="158">
        <f t="shared" si="30"/>
        <v>2010</v>
      </c>
      <c r="C52" s="156">
        <v>2017</v>
      </c>
      <c r="D52" s="153">
        <f t="shared" si="24"/>
        <v>6000</v>
      </c>
      <c r="E52" s="153">
        <f t="shared" si="28"/>
        <v>6000</v>
      </c>
      <c r="F52" s="153">
        <f t="shared" si="29"/>
        <v>6000</v>
      </c>
      <c r="G52" s="153"/>
      <c r="H52" s="153"/>
      <c r="I52" s="153"/>
      <c r="J52" s="153"/>
      <c r="K52" s="153"/>
      <c r="L52" s="153">
        <v>6000</v>
      </c>
      <c r="M52" s="153">
        <v>6000</v>
      </c>
      <c r="N52" s="153">
        <v>6000</v>
      </c>
    </row>
    <row r="53" spans="1:14" ht="15.75" x14ac:dyDescent="0.25">
      <c r="A53" s="84" t="s">
        <v>148</v>
      </c>
      <c r="B53" s="158">
        <f t="shared" si="30"/>
        <v>2011</v>
      </c>
      <c r="C53" s="156">
        <v>2017</v>
      </c>
      <c r="D53" s="153">
        <f t="shared" si="24"/>
        <v>40400</v>
      </c>
      <c r="E53" s="153">
        <f t="shared" si="28"/>
        <v>50000</v>
      </c>
      <c r="F53" s="153">
        <f t="shared" si="29"/>
        <v>50000</v>
      </c>
      <c r="G53" s="153"/>
      <c r="H53" s="153"/>
      <c r="I53" s="153"/>
      <c r="J53" s="153"/>
      <c r="K53" s="153"/>
      <c r="L53" s="153">
        <v>40400</v>
      </c>
      <c r="M53" s="153">
        <v>50000</v>
      </c>
      <c r="N53" s="153">
        <v>50000</v>
      </c>
    </row>
    <row r="54" spans="1:14" ht="31.5" x14ac:dyDescent="0.25">
      <c r="A54" s="84" t="s">
        <v>149</v>
      </c>
      <c r="B54" s="158">
        <f t="shared" si="30"/>
        <v>2012</v>
      </c>
      <c r="C54" s="156">
        <v>2017</v>
      </c>
      <c r="D54" s="153">
        <f t="shared" si="24"/>
        <v>25000</v>
      </c>
      <c r="E54" s="153">
        <f t="shared" si="28"/>
        <v>25000</v>
      </c>
      <c r="F54" s="153">
        <f t="shared" si="29"/>
        <v>25000</v>
      </c>
      <c r="G54" s="153"/>
      <c r="H54" s="153"/>
      <c r="I54" s="153"/>
      <c r="J54" s="153"/>
      <c r="K54" s="153"/>
      <c r="L54" s="153">
        <v>25000</v>
      </c>
      <c r="M54" s="153">
        <v>25000</v>
      </c>
      <c r="N54" s="153">
        <v>25000</v>
      </c>
    </row>
    <row r="55" spans="1:14" ht="31.5" x14ac:dyDescent="0.25">
      <c r="A55" s="84" t="s">
        <v>150</v>
      </c>
      <c r="B55" s="158">
        <f t="shared" si="30"/>
        <v>2013</v>
      </c>
      <c r="C55" s="156">
        <v>2017</v>
      </c>
      <c r="D55" s="153">
        <f t="shared" si="24"/>
        <v>0</v>
      </c>
      <c r="E55" s="153">
        <f t="shared" si="28"/>
        <v>17000</v>
      </c>
      <c r="F55" s="153">
        <f t="shared" si="29"/>
        <v>0</v>
      </c>
      <c r="G55" s="153"/>
      <c r="H55" s="153"/>
      <c r="I55" s="153"/>
      <c r="J55" s="153"/>
      <c r="K55" s="153"/>
      <c r="L55" s="153">
        <v>0</v>
      </c>
      <c r="M55" s="153">
        <v>17000</v>
      </c>
      <c r="N55" s="153">
        <v>0</v>
      </c>
    </row>
    <row r="56" spans="1:14" ht="31.5" x14ac:dyDescent="0.25">
      <c r="A56" s="84" t="s">
        <v>151</v>
      </c>
      <c r="B56" s="158">
        <f t="shared" si="30"/>
        <v>2014</v>
      </c>
      <c r="C56" s="156">
        <v>2017</v>
      </c>
      <c r="D56" s="153">
        <f t="shared" si="24"/>
        <v>6914.96</v>
      </c>
      <c r="E56" s="153">
        <f t="shared" si="28"/>
        <v>0</v>
      </c>
      <c r="F56" s="153">
        <f t="shared" si="29"/>
        <v>0</v>
      </c>
      <c r="G56" s="153"/>
      <c r="H56" s="153"/>
      <c r="I56" s="153"/>
      <c r="J56" s="153"/>
      <c r="K56" s="153"/>
      <c r="L56" s="153">
        <v>6914.96</v>
      </c>
      <c r="M56" s="153">
        <v>0</v>
      </c>
      <c r="N56" s="153">
        <v>0</v>
      </c>
    </row>
    <row r="57" spans="1:14" ht="31.5" x14ac:dyDescent="0.25">
      <c r="A57" s="87" t="s">
        <v>155</v>
      </c>
      <c r="B57" s="158">
        <f t="shared" si="30"/>
        <v>2015</v>
      </c>
      <c r="C57" s="156">
        <v>2017</v>
      </c>
      <c r="D57" s="153">
        <f t="shared" si="24"/>
        <v>2000</v>
      </c>
      <c r="E57" s="153">
        <f t="shared" si="28"/>
        <v>2000</v>
      </c>
      <c r="F57" s="153">
        <f t="shared" si="29"/>
        <v>2000</v>
      </c>
      <c r="G57" s="153"/>
      <c r="H57" s="153"/>
      <c r="I57" s="153"/>
      <c r="J57" s="153"/>
      <c r="K57" s="153"/>
      <c r="L57" s="153">
        <v>2000</v>
      </c>
      <c r="M57" s="153">
        <v>2000</v>
      </c>
      <c r="N57" s="153">
        <v>2000</v>
      </c>
    </row>
    <row r="58" spans="1:14" ht="31.5" x14ac:dyDescent="0.25">
      <c r="A58" s="87" t="s">
        <v>156</v>
      </c>
      <c r="B58" s="158">
        <f t="shared" si="30"/>
        <v>2016</v>
      </c>
      <c r="C58" s="156">
        <v>2017</v>
      </c>
      <c r="D58" s="153">
        <f t="shared" si="24"/>
        <v>8000</v>
      </c>
      <c r="E58" s="153">
        <f t="shared" si="28"/>
        <v>8000</v>
      </c>
      <c r="F58" s="153">
        <f t="shared" si="29"/>
        <v>8000</v>
      </c>
      <c r="G58" s="153"/>
      <c r="H58" s="153"/>
      <c r="I58" s="153"/>
      <c r="J58" s="153"/>
      <c r="K58" s="153"/>
      <c r="L58" s="153">
        <v>8000</v>
      </c>
      <c r="M58" s="153">
        <v>8000</v>
      </c>
      <c r="N58" s="153">
        <v>8000</v>
      </c>
    </row>
    <row r="59" spans="1:14" ht="47.25" x14ac:dyDescent="0.25">
      <c r="A59" s="87" t="s">
        <v>158</v>
      </c>
      <c r="B59" s="158">
        <f t="shared" si="30"/>
        <v>2017</v>
      </c>
      <c r="C59" s="156">
        <v>2017</v>
      </c>
      <c r="D59" s="153">
        <f t="shared" si="24"/>
        <v>5940</v>
      </c>
      <c r="E59" s="153">
        <f t="shared" si="28"/>
        <v>6000</v>
      </c>
      <c r="F59" s="153">
        <f t="shared" si="29"/>
        <v>6000</v>
      </c>
      <c r="G59" s="153"/>
      <c r="H59" s="153"/>
      <c r="I59" s="153"/>
      <c r="J59" s="153"/>
      <c r="K59" s="153"/>
      <c r="L59" s="153">
        <v>5940</v>
      </c>
      <c r="M59" s="153">
        <v>6000</v>
      </c>
      <c r="N59" s="153">
        <v>6000</v>
      </c>
    </row>
    <row r="60" spans="1:14" ht="47.25" x14ac:dyDescent="0.25">
      <c r="A60" s="84" t="s">
        <v>160</v>
      </c>
      <c r="B60" s="158">
        <f t="shared" si="30"/>
        <v>2018</v>
      </c>
      <c r="C60" s="156">
        <v>2017</v>
      </c>
      <c r="D60" s="153">
        <f t="shared" si="24"/>
        <v>30000</v>
      </c>
      <c r="E60" s="153">
        <f t="shared" si="28"/>
        <v>30000</v>
      </c>
      <c r="F60" s="153">
        <f t="shared" si="29"/>
        <v>33900</v>
      </c>
      <c r="G60" s="153"/>
      <c r="H60" s="153"/>
      <c r="I60" s="153"/>
      <c r="J60" s="153"/>
      <c r="K60" s="153"/>
      <c r="L60" s="153">
        <v>30000</v>
      </c>
      <c r="M60" s="153">
        <v>30000</v>
      </c>
      <c r="N60" s="153">
        <v>33900</v>
      </c>
    </row>
    <row r="61" spans="1:14" ht="47.25" x14ac:dyDescent="0.25">
      <c r="A61" s="87" t="s">
        <v>162</v>
      </c>
      <c r="B61" s="158">
        <f t="shared" si="30"/>
        <v>2019</v>
      </c>
      <c r="C61" s="156">
        <v>2017</v>
      </c>
      <c r="D61" s="153">
        <f t="shared" si="24"/>
        <v>19000</v>
      </c>
      <c r="E61" s="153">
        <f t="shared" si="28"/>
        <v>19000</v>
      </c>
      <c r="F61" s="153">
        <f t="shared" si="29"/>
        <v>20000</v>
      </c>
      <c r="G61" s="153"/>
      <c r="H61" s="153"/>
      <c r="I61" s="153"/>
      <c r="J61" s="153"/>
      <c r="K61" s="153"/>
      <c r="L61" s="153">
        <v>19000</v>
      </c>
      <c r="M61" s="153">
        <v>19000</v>
      </c>
      <c r="N61" s="153">
        <v>20000</v>
      </c>
    </row>
    <row r="62" spans="1:14" ht="15.75" x14ac:dyDescent="0.25">
      <c r="A62" s="87" t="s">
        <v>163</v>
      </c>
      <c r="B62" s="158">
        <f t="shared" si="30"/>
        <v>2020</v>
      </c>
      <c r="C62" s="156">
        <v>2017</v>
      </c>
      <c r="D62" s="153">
        <f t="shared" si="24"/>
        <v>114000</v>
      </c>
      <c r="E62" s="153">
        <f t="shared" si="28"/>
        <v>14000</v>
      </c>
      <c r="F62" s="153">
        <f t="shared" si="29"/>
        <v>14000</v>
      </c>
      <c r="G62" s="153"/>
      <c r="H62" s="153"/>
      <c r="I62" s="153"/>
      <c r="J62" s="153"/>
      <c r="K62" s="153"/>
      <c r="L62" s="153">
        <f>14000+100000</f>
        <v>114000</v>
      </c>
      <c r="M62" s="153">
        <v>14000</v>
      </c>
      <c r="N62" s="153">
        <v>14000</v>
      </c>
    </row>
    <row r="63" spans="1:14" ht="31.5" x14ac:dyDescent="0.25">
      <c r="A63" s="87" t="s">
        <v>164</v>
      </c>
      <c r="B63" s="158">
        <f t="shared" si="30"/>
        <v>2021</v>
      </c>
      <c r="C63" s="156">
        <v>2017</v>
      </c>
      <c r="D63" s="153">
        <f t="shared" si="24"/>
        <v>22000</v>
      </c>
      <c r="E63" s="153">
        <f t="shared" si="28"/>
        <v>22000</v>
      </c>
      <c r="F63" s="153">
        <f t="shared" si="29"/>
        <v>22000</v>
      </c>
      <c r="G63" s="153"/>
      <c r="H63" s="153"/>
      <c r="I63" s="153"/>
      <c r="J63" s="153"/>
      <c r="K63" s="153"/>
      <c r="L63" s="153">
        <v>22000</v>
      </c>
      <c r="M63" s="153">
        <v>22000</v>
      </c>
      <c r="N63" s="153">
        <v>22000</v>
      </c>
    </row>
    <row r="64" spans="1:14" ht="47.25" x14ac:dyDescent="0.25">
      <c r="A64" s="87" t="s">
        <v>165</v>
      </c>
      <c r="B64" s="158">
        <f t="shared" si="30"/>
        <v>2022</v>
      </c>
      <c r="C64" s="156">
        <v>2017</v>
      </c>
      <c r="D64" s="153">
        <f t="shared" si="24"/>
        <v>41885.39</v>
      </c>
      <c r="E64" s="153">
        <f t="shared" si="28"/>
        <v>99900</v>
      </c>
      <c r="F64" s="153">
        <f t="shared" si="29"/>
        <v>99900</v>
      </c>
      <c r="G64" s="153"/>
      <c r="H64" s="153"/>
      <c r="I64" s="153"/>
      <c r="J64" s="153"/>
      <c r="K64" s="153"/>
      <c r="L64" s="153">
        <v>41885.39</v>
      </c>
      <c r="M64" s="153">
        <f t="shared" ref="M64:N64" si="32">85000+14900</f>
        <v>99900</v>
      </c>
      <c r="N64" s="153">
        <f t="shared" si="32"/>
        <v>99900</v>
      </c>
    </row>
    <row r="65" spans="1:14" ht="47.25" x14ac:dyDescent="0.25">
      <c r="A65" s="87" t="s">
        <v>166</v>
      </c>
      <c r="B65" s="158">
        <f t="shared" si="30"/>
        <v>2023</v>
      </c>
      <c r="C65" s="156">
        <v>2017</v>
      </c>
      <c r="D65" s="153">
        <f t="shared" si="24"/>
        <v>65400</v>
      </c>
      <c r="E65" s="153">
        <f t="shared" si="28"/>
        <v>70000</v>
      </c>
      <c r="F65" s="153">
        <f t="shared" si="29"/>
        <v>80400</v>
      </c>
      <c r="G65" s="153"/>
      <c r="H65" s="153"/>
      <c r="I65" s="153"/>
      <c r="J65" s="153"/>
      <c r="K65" s="153"/>
      <c r="L65" s="153">
        <v>65400</v>
      </c>
      <c r="M65" s="153">
        <v>70000</v>
      </c>
      <c r="N65" s="153">
        <v>80400</v>
      </c>
    </row>
    <row r="66" spans="1:14" ht="47.25" x14ac:dyDescent="0.25">
      <c r="A66" s="87" t="s">
        <v>167</v>
      </c>
      <c r="B66" s="158">
        <f t="shared" si="30"/>
        <v>2024</v>
      </c>
      <c r="C66" s="156">
        <v>2017</v>
      </c>
      <c r="D66" s="153">
        <f t="shared" si="24"/>
        <v>72000</v>
      </c>
      <c r="E66" s="153">
        <f t="shared" si="28"/>
        <v>72000</v>
      </c>
      <c r="F66" s="153">
        <f t="shared" si="29"/>
        <v>73000</v>
      </c>
      <c r="G66" s="153"/>
      <c r="H66" s="153"/>
      <c r="I66" s="153"/>
      <c r="J66" s="153"/>
      <c r="K66" s="153"/>
      <c r="L66" s="153">
        <v>72000</v>
      </c>
      <c r="M66" s="153">
        <v>72000</v>
      </c>
      <c r="N66" s="153">
        <v>73000</v>
      </c>
    </row>
    <row r="67" spans="1:14" ht="31.5" x14ac:dyDescent="0.25">
      <c r="A67" s="87" t="s">
        <v>346</v>
      </c>
      <c r="B67" s="173">
        <f t="shared" si="30"/>
        <v>2025</v>
      </c>
      <c r="C67" s="173">
        <v>2017</v>
      </c>
      <c r="D67" s="172">
        <f t="shared" ref="D67" si="33">L67</f>
        <v>60000</v>
      </c>
      <c r="E67" s="172">
        <f t="shared" ref="E67" si="34">M67</f>
        <v>0</v>
      </c>
      <c r="F67" s="172">
        <f t="shared" ref="F67" si="35">N67</f>
        <v>0</v>
      </c>
      <c r="G67" s="172"/>
      <c r="H67" s="172"/>
      <c r="I67" s="172"/>
      <c r="J67" s="172"/>
      <c r="K67" s="172"/>
      <c r="L67" s="172">
        <v>60000</v>
      </c>
      <c r="M67" s="172">
        <v>0</v>
      </c>
      <c r="N67" s="172">
        <v>0</v>
      </c>
    </row>
    <row r="68" spans="1:14" ht="31.5" x14ac:dyDescent="0.25">
      <c r="A68" s="87" t="s">
        <v>168</v>
      </c>
      <c r="B68" s="173">
        <f t="shared" si="30"/>
        <v>2026</v>
      </c>
      <c r="C68" s="156">
        <v>2017</v>
      </c>
      <c r="D68" s="153">
        <f t="shared" si="24"/>
        <v>30000</v>
      </c>
      <c r="E68" s="153">
        <f t="shared" si="28"/>
        <v>30000</v>
      </c>
      <c r="F68" s="153">
        <f t="shared" si="29"/>
        <v>30000</v>
      </c>
      <c r="G68" s="153"/>
      <c r="H68" s="153"/>
      <c r="I68" s="153"/>
      <c r="J68" s="153"/>
      <c r="K68" s="153"/>
      <c r="L68" s="153">
        <v>30000</v>
      </c>
      <c r="M68" s="153">
        <v>30000</v>
      </c>
      <c r="N68" s="153">
        <v>30000</v>
      </c>
    </row>
    <row r="69" spans="1:14" ht="31.5" x14ac:dyDescent="0.25">
      <c r="A69" s="87" t="s">
        <v>169</v>
      </c>
      <c r="B69" s="173">
        <f t="shared" si="30"/>
        <v>2027</v>
      </c>
      <c r="C69" s="156">
        <v>2017</v>
      </c>
      <c r="D69" s="153">
        <f t="shared" si="24"/>
        <v>4750</v>
      </c>
      <c r="E69" s="153">
        <f t="shared" si="28"/>
        <v>5000</v>
      </c>
      <c r="F69" s="153">
        <f t="shared" si="29"/>
        <v>5000</v>
      </c>
      <c r="G69" s="153"/>
      <c r="H69" s="153"/>
      <c r="I69" s="153"/>
      <c r="J69" s="153"/>
      <c r="K69" s="153"/>
      <c r="L69" s="153">
        <v>4750</v>
      </c>
      <c r="M69" s="153">
        <v>5000</v>
      </c>
      <c r="N69" s="153">
        <v>5000</v>
      </c>
    </row>
    <row r="70" spans="1:14" ht="15.75" x14ac:dyDescent="0.25">
      <c r="A70" s="87" t="s">
        <v>225</v>
      </c>
      <c r="B70" s="173">
        <f t="shared" si="30"/>
        <v>2028</v>
      </c>
      <c r="C70" s="156">
        <v>2017</v>
      </c>
      <c r="D70" s="153">
        <f t="shared" si="24"/>
        <v>99999.999999999985</v>
      </c>
      <c r="E70" s="153">
        <f t="shared" si="28"/>
        <v>248700</v>
      </c>
      <c r="F70" s="153">
        <f t="shared" si="29"/>
        <v>36000</v>
      </c>
      <c r="G70" s="153"/>
      <c r="H70" s="153"/>
      <c r="I70" s="153"/>
      <c r="J70" s="153"/>
      <c r="K70" s="153"/>
      <c r="L70" s="153">
        <f>77780+56.11+13844.96+55.76+85.04+78.48+8099.65</f>
        <v>99999.999999999985</v>
      </c>
      <c r="M70" s="153">
        <v>248700</v>
      </c>
      <c r="N70" s="153">
        <v>36000</v>
      </c>
    </row>
    <row r="71" spans="1:14" ht="15.75" x14ac:dyDescent="0.25">
      <c r="A71" s="88">
        <v>290</v>
      </c>
      <c r="B71" s="88"/>
      <c r="C71" s="88"/>
      <c r="D71" s="152">
        <f t="shared" si="24"/>
        <v>1872080</v>
      </c>
      <c r="E71" s="86">
        <f>M71</f>
        <v>4490280</v>
      </c>
      <c r="F71" s="86">
        <f>N71</f>
        <v>4929480</v>
      </c>
      <c r="G71" s="86">
        <f>SUM(G76:G94)</f>
        <v>0</v>
      </c>
      <c r="H71" s="86">
        <f>SUM(H76:H94)</f>
        <v>0</v>
      </c>
      <c r="I71" s="86">
        <f>SUM(I76:I94)</f>
        <v>0</v>
      </c>
      <c r="J71" s="86">
        <f>SUM(J76:J94)</f>
        <v>0</v>
      </c>
      <c r="K71" s="86">
        <f>SUM(K76:K94)</f>
        <v>0</v>
      </c>
      <c r="L71" s="86">
        <f>SUM(L72:L75)</f>
        <v>1872080</v>
      </c>
      <c r="M71" s="86">
        <f t="shared" ref="M71:N71" si="36">SUM(M72:M75)</f>
        <v>4490280</v>
      </c>
      <c r="N71" s="86">
        <f t="shared" si="36"/>
        <v>4929480</v>
      </c>
    </row>
    <row r="72" spans="1:14" ht="31.5" x14ac:dyDescent="0.25">
      <c r="A72" s="87" t="s">
        <v>170</v>
      </c>
      <c r="B72" s="156">
        <v>2029</v>
      </c>
      <c r="C72" s="156">
        <v>2017</v>
      </c>
      <c r="D72" s="153">
        <f t="shared" si="24"/>
        <v>117180</v>
      </c>
      <c r="E72" s="153">
        <f>M72</f>
        <v>94045</v>
      </c>
      <c r="F72" s="153">
        <f>N72</f>
        <v>91405</v>
      </c>
      <c r="G72" s="153"/>
      <c r="H72" s="153"/>
      <c r="I72" s="153"/>
      <c r="J72" s="153"/>
      <c r="K72" s="153"/>
      <c r="L72" s="153">
        <f>16215+72220+10220+3150-225+160+3780-13920+25580</f>
        <v>117180</v>
      </c>
      <c r="M72" s="153">
        <f>90895+3150</f>
        <v>94045</v>
      </c>
      <c r="N72" s="153">
        <f>88255+3150</f>
        <v>91405</v>
      </c>
    </row>
    <row r="73" spans="1:14" ht="15.75" x14ac:dyDescent="0.25">
      <c r="A73" s="87" t="s">
        <v>171</v>
      </c>
      <c r="B73" s="156">
        <f>B72+1</f>
        <v>2030</v>
      </c>
      <c r="C73" s="156">
        <v>2017</v>
      </c>
      <c r="D73" s="153">
        <f t="shared" si="24"/>
        <v>105460</v>
      </c>
      <c r="E73" s="153">
        <f>M73</f>
        <v>138780</v>
      </c>
      <c r="F73" s="153">
        <f t="shared" ref="F73:F75" si="37">N73</f>
        <v>141780</v>
      </c>
      <c r="G73" s="153"/>
      <c r="H73" s="153"/>
      <c r="I73" s="153"/>
      <c r="J73" s="153"/>
      <c r="K73" s="153"/>
      <c r="L73" s="153">
        <f>20700+30600+28780+25380</f>
        <v>105460</v>
      </c>
      <c r="M73" s="153">
        <v>138780</v>
      </c>
      <c r="N73" s="153">
        <v>141780</v>
      </c>
    </row>
    <row r="74" spans="1:14" ht="31.5" x14ac:dyDescent="0.25">
      <c r="A74" s="87" t="s">
        <v>224</v>
      </c>
      <c r="B74" s="158">
        <f t="shared" ref="B74:B75" si="38">B73+1</f>
        <v>2031</v>
      </c>
      <c r="C74" s="156">
        <v>2017</v>
      </c>
      <c r="D74" s="153">
        <f>L74</f>
        <v>0</v>
      </c>
      <c r="E74" s="153">
        <f>M74</f>
        <v>1495120</v>
      </c>
      <c r="F74" s="153">
        <f>N74</f>
        <v>1771120</v>
      </c>
      <c r="G74" s="153"/>
      <c r="H74" s="153"/>
      <c r="I74" s="153"/>
      <c r="J74" s="153"/>
      <c r="K74" s="153"/>
      <c r="L74" s="153">
        <v>0</v>
      </c>
      <c r="M74" s="153">
        <v>1495120</v>
      </c>
      <c r="N74" s="153">
        <v>1771120</v>
      </c>
    </row>
    <row r="75" spans="1:14" ht="31.5" x14ac:dyDescent="0.25">
      <c r="A75" s="87" t="s">
        <v>172</v>
      </c>
      <c r="B75" s="158">
        <f t="shared" si="38"/>
        <v>2032</v>
      </c>
      <c r="C75" s="156">
        <v>2017</v>
      </c>
      <c r="D75" s="153">
        <f t="shared" si="24"/>
        <v>1649440</v>
      </c>
      <c r="E75" s="153">
        <f>M75</f>
        <v>2762335</v>
      </c>
      <c r="F75" s="153">
        <f t="shared" si="37"/>
        <v>2925175</v>
      </c>
      <c r="G75" s="153"/>
      <c r="H75" s="153"/>
      <c r="I75" s="153"/>
      <c r="J75" s="153"/>
      <c r="K75" s="153"/>
      <c r="L75" s="153">
        <f>56200+20000+16400+1200+3530+1800+5250-35000-25580+1600000+4440+1200</f>
        <v>1649440</v>
      </c>
      <c r="M75" s="153">
        <f>2757085+5250</f>
        <v>2762335</v>
      </c>
      <c r="N75" s="153">
        <f>2919925+5250</f>
        <v>2925175</v>
      </c>
    </row>
    <row r="76" spans="1:14" ht="15.75" x14ac:dyDescent="0.25">
      <c r="A76" s="88">
        <v>226</v>
      </c>
      <c r="B76" s="88"/>
      <c r="C76" s="88"/>
      <c r="D76" s="152">
        <f t="shared" si="24"/>
        <v>2865831.45</v>
      </c>
      <c r="E76" s="86">
        <f>M76</f>
        <v>2535713</v>
      </c>
      <c r="F76" s="86">
        <f>N76</f>
        <v>2583513</v>
      </c>
      <c r="G76" s="86">
        <f>SUM(G77:G102)</f>
        <v>0</v>
      </c>
      <c r="H76" s="86">
        <f>SUM(H77:H102)</f>
        <v>0</v>
      </c>
      <c r="I76" s="86">
        <f>SUM(I77:I102)</f>
        <v>0</v>
      </c>
      <c r="J76" s="86">
        <f>SUM(J77:J102)</f>
        <v>0</v>
      </c>
      <c r="K76" s="86">
        <f>SUM(K77:K102)</f>
        <v>0</v>
      </c>
      <c r="L76" s="86">
        <f>SUM(L77:L108)</f>
        <v>2865831.45</v>
      </c>
      <c r="M76" s="86">
        <f>SUM(M77:M108)</f>
        <v>2535713</v>
      </c>
      <c r="N76" s="86">
        <f>SUM(N77:N108)</f>
        <v>2583513</v>
      </c>
    </row>
    <row r="77" spans="1:14" ht="31.5" x14ac:dyDescent="0.25">
      <c r="A77" s="87" t="s">
        <v>173</v>
      </c>
      <c r="B77" s="156">
        <v>2033</v>
      </c>
      <c r="C77" s="156">
        <v>2017</v>
      </c>
      <c r="D77" s="153">
        <f t="shared" si="24"/>
        <v>90000</v>
      </c>
      <c r="E77" s="153">
        <f>M77</f>
        <v>143000</v>
      </c>
      <c r="F77" s="153">
        <f>N77</f>
        <v>143000</v>
      </c>
      <c r="G77" s="153"/>
      <c r="H77" s="153"/>
      <c r="I77" s="153"/>
      <c r="J77" s="153"/>
      <c r="K77" s="153"/>
      <c r="L77" s="153">
        <v>90000</v>
      </c>
      <c r="M77" s="153">
        <f t="shared" ref="M77:N77" si="39">140000+3000</f>
        <v>143000</v>
      </c>
      <c r="N77" s="153">
        <f t="shared" si="39"/>
        <v>143000</v>
      </c>
    </row>
    <row r="78" spans="1:14" ht="31.5" x14ac:dyDescent="0.25">
      <c r="A78" s="87" t="s">
        <v>174</v>
      </c>
      <c r="B78" s="156">
        <f>B77+1</f>
        <v>2034</v>
      </c>
      <c r="C78" s="156">
        <v>2017</v>
      </c>
      <c r="D78" s="153">
        <f t="shared" si="24"/>
        <v>20000</v>
      </c>
      <c r="E78" s="153">
        <f t="shared" ref="E78:E108" si="40">M78</f>
        <v>25000</v>
      </c>
      <c r="F78" s="153">
        <f t="shared" ref="F78:F108" si="41">N78</f>
        <v>25000</v>
      </c>
      <c r="G78" s="153"/>
      <c r="H78" s="153"/>
      <c r="I78" s="153"/>
      <c r="J78" s="153"/>
      <c r="K78" s="153"/>
      <c r="L78" s="153">
        <v>20000</v>
      </c>
      <c r="M78" s="153">
        <v>25000</v>
      </c>
      <c r="N78" s="153">
        <v>25000</v>
      </c>
    </row>
    <row r="79" spans="1:14" ht="47.25" x14ac:dyDescent="0.25">
      <c r="A79" s="87" t="s">
        <v>175</v>
      </c>
      <c r="B79" s="158">
        <f t="shared" ref="B79:B108" si="42">B78+1</f>
        <v>2035</v>
      </c>
      <c r="C79" s="156">
        <v>2017</v>
      </c>
      <c r="D79" s="153">
        <f t="shared" si="24"/>
        <v>90000</v>
      </c>
      <c r="E79" s="153">
        <f t="shared" si="40"/>
        <v>90000</v>
      </c>
      <c r="F79" s="153">
        <f t="shared" si="41"/>
        <v>90000</v>
      </c>
      <c r="G79" s="153"/>
      <c r="H79" s="153"/>
      <c r="I79" s="153"/>
      <c r="J79" s="153"/>
      <c r="K79" s="153"/>
      <c r="L79" s="153">
        <v>90000</v>
      </c>
      <c r="M79" s="153">
        <v>90000</v>
      </c>
      <c r="N79" s="153">
        <v>90000</v>
      </c>
    </row>
    <row r="80" spans="1:14" ht="31.5" x14ac:dyDescent="0.25">
      <c r="A80" s="87" t="s">
        <v>176</v>
      </c>
      <c r="B80" s="158">
        <f t="shared" si="42"/>
        <v>2036</v>
      </c>
      <c r="C80" s="156">
        <v>2017</v>
      </c>
      <c r="D80" s="153">
        <f t="shared" ref="D80:D124" si="43">L80</f>
        <v>130000</v>
      </c>
      <c r="E80" s="153">
        <f t="shared" si="40"/>
        <v>25000</v>
      </c>
      <c r="F80" s="153">
        <f t="shared" si="41"/>
        <v>25000</v>
      </c>
      <c r="G80" s="153"/>
      <c r="H80" s="153"/>
      <c r="I80" s="153"/>
      <c r="J80" s="153"/>
      <c r="K80" s="153"/>
      <c r="L80" s="153">
        <v>130000</v>
      </c>
      <c r="M80" s="153">
        <v>25000</v>
      </c>
      <c r="N80" s="153">
        <v>25000</v>
      </c>
    </row>
    <row r="81" spans="1:14" ht="31.5" x14ac:dyDescent="0.25">
      <c r="A81" s="87" t="s">
        <v>177</v>
      </c>
      <c r="B81" s="158">
        <f t="shared" si="42"/>
        <v>2037</v>
      </c>
      <c r="C81" s="156">
        <v>2017</v>
      </c>
      <c r="D81" s="153">
        <f t="shared" si="43"/>
        <v>6600</v>
      </c>
      <c r="E81" s="153">
        <f t="shared" si="40"/>
        <v>6600</v>
      </c>
      <c r="F81" s="153">
        <f t="shared" si="41"/>
        <v>6600</v>
      </c>
      <c r="G81" s="153"/>
      <c r="H81" s="153"/>
      <c r="I81" s="153"/>
      <c r="J81" s="153"/>
      <c r="K81" s="153"/>
      <c r="L81" s="153">
        <v>6600</v>
      </c>
      <c r="M81" s="153">
        <v>6600</v>
      </c>
      <c r="N81" s="153">
        <v>6600</v>
      </c>
    </row>
    <row r="82" spans="1:14" ht="31.5" x14ac:dyDescent="0.25">
      <c r="A82" s="87" t="s">
        <v>178</v>
      </c>
      <c r="B82" s="158">
        <f t="shared" si="42"/>
        <v>2038</v>
      </c>
      <c r="C82" s="156">
        <v>2017</v>
      </c>
      <c r="D82" s="153">
        <f t="shared" si="43"/>
        <v>40903.519999999997</v>
      </c>
      <c r="E82" s="153">
        <f t="shared" si="40"/>
        <v>41500</v>
      </c>
      <c r="F82" s="153">
        <f t="shared" si="41"/>
        <v>41500</v>
      </c>
      <c r="G82" s="153"/>
      <c r="H82" s="153"/>
      <c r="I82" s="153"/>
      <c r="J82" s="153"/>
      <c r="K82" s="153"/>
      <c r="L82" s="153">
        <v>40903.519999999997</v>
      </c>
      <c r="M82" s="153">
        <v>41500</v>
      </c>
      <c r="N82" s="153">
        <v>41500</v>
      </c>
    </row>
    <row r="83" spans="1:14" ht="63" x14ac:dyDescent="0.25">
      <c r="A83" s="87" t="s">
        <v>179</v>
      </c>
      <c r="B83" s="158">
        <f t="shared" si="42"/>
        <v>2039</v>
      </c>
      <c r="C83" s="156">
        <v>2017</v>
      </c>
      <c r="D83" s="153">
        <f t="shared" si="43"/>
        <v>22000</v>
      </c>
      <c r="E83" s="153">
        <f t="shared" si="40"/>
        <v>50000</v>
      </c>
      <c r="F83" s="153">
        <f t="shared" si="41"/>
        <v>50000</v>
      </c>
      <c r="G83" s="153"/>
      <c r="H83" s="153"/>
      <c r="I83" s="153"/>
      <c r="J83" s="153"/>
      <c r="K83" s="153"/>
      <c r="L83" s="153">
        <v>22000</v>
      </c>
      <c r="M83" s="153">
        <v>50000</v>
      </c>
      <c r="N83" s="153">
        <v>50000</v>
      </c>
    </row>
    <row r="84" spans="1:14" ht="21" customHeight="1" x14ac:dyDescent="0.25">
      <c r="A84" s="87" t="s">
        <v>180</v>
      </c>
      <c r="B84" s="158">
        <f t="shared" si="42"/>
        <v>2040</v>
      </c>
      <c r="C84" s="156">
        <v>2017</v>
      </c>
      <c r="D84" s="153">
        <f t="shared" si="43"/>
        <v>63000</v>
      </c>
      <c r="E84" s="153">
        <f t="shared" si="40"/>
        <v>63000</v>
      </c>
      <c r="F84" s="153">
        <f t="shared" si="41"/>
        <v>63000</v>
      </c>
      <c r="G84" s="153"/>
      <c r="H84" s="153"/>
      <c r="I84" s="153"/>
      <c r="J84" s="153"/>
      <c r="K84" s="153"/>
      <c r="L84" s="153">
        <v>63000</v>
      </c>
      <c r="M84" s="153">
        <v>63000</v>
      </c>
      <c r="N84" s="153">
        <v>63000</v>
      </c>
    </row>
    <row r="85" spans="1:14" ht="37.5" customHeight="1" x14ac:dyDescent="0.25">
      <c r="A85" s="87" t="s">
        <v>182</v>
      </c>
      <c r="B85" s="158">
        <f t="shared" si="42"/>
        <v>2041</v>
      </c>
      <c r="C85" s="156">
        <v>2017</v>
      </c>
      <c r="D85" s="153">
        <f t="shared" si="43"/>
        <v>10000</v>
      </c>
      <c r="E85" s="153">
        <f t="shared" si="40"/>
        <v>23000</v>
      </c>
      <c r="F85" s="153">
        <f t="shared" si="41"/>
        <v>23000</v>
      </c>
      <c r="G85" s="153"/>
      <c r="H85" s="153"/>
      <c r="I85" s="153"/>
      <c r="J85" s="153"/>
      <c r="K85" s="153"/>
      <c r="L85" s="153">
        <v>10000</v>
      </c>
      <c r="M85" s="153">
        <v>23000</v>
      </c>
      <c r="N85" s="153">
        <v>23000</v>
      </c>
    </row>
    <row r="86" spans="1:14" ht="36.75" customHeight="1" x14ac:dyDescent="0.25">
      <c r="A86" s="87" t="s">
        <v>183</v>
      </c>
      <c r="B86" s="158">
        <f t="shared" si="42"/>
        <v>2042</v>
      </c>
      <c r="C86" s="156">
        <v>2017</v>
      </c>
      <c r="D86" s="153">
        <f t="shared" si="43"/>
        <v>12000</v>
      </c>
      <c r="E86" s="153">
        <f t="shared" si="40"/>
        <v>12000</v>
      </c>
      <c r="F86" s="153">
        <f t="shared" si="41"/>
        <v>12000</v>
      </c>
      <c r="G86" s="153"/>
      <c r="H86" s="153"/>
      <c r="I86" s="153"/>
      <c r="J86" s="153"/>
      <c r="K86" s="153"/>
      <c r="L86" s="153">
        <v>12000</v>
      </c>
      <c r="M86" s="153">
        <v>12000</v>
      </c>
      <c r="N86" s="153">
        <v>12000</v>
      </c>
    </row>
    <row r="87" spans="1:14" ht="34.5" customHeight="1" x14ac:dyDescent="0.25">
      <c r="A87" s="87" t="s">
        <v>184</v>
      </c>
      <c r="B87" s="158">
        <f t="shared" si="42"/>
        <v>2043</v>
      </c>
      <c r="C87" s="156">
        <v>2017</v>
      </c>
      <c r="D87" s="153">
        <f t="shared" si="43"/>
        <v>7500</v>
      </c>
      <c r="E87" s="153">
        <f t="shared" si="40"/>
        <v>2000</v>
      </c>
      <c r="F87" s="153">
        <f t="shared" si="41"/>
        <v>2000</v>
      </c>
      <c r="G87" s="153"/>
      <c r="H87" s="153"/>
      <c r="I87" s="153"/>
      <c r="J87" s="153"/>
      <c r="K87" s="153"/>
      <c r="L87" s="153">
        <v>7500</v>
      </c>
      <c r="M87" s="153">
        <v>2000</v>
      </c>
      <c r="N87" s="153">
        <v>2000</v>
      </c>
    </row>
    <row r="88" spans="1:14" ht="18.75" customHeight="1" x14ac:dyDescent="0.25">
      <c r="A88" s="87" t="s">
        <v>185</v>
      </c>
      <c r="B88" s="158">
        <f t="shared" si="42"/>
        <v>2044</v>
      </c>
      <c r="C88" s="156">
        <v>2017</v>
      </c>
      <c r="D88" s="153">
        <f t="shared" si="43"/>
        <v>2000</v>
      </c>
      <c r="E88" s="153">
        <f t="shared" si="40"/>
        <v>2000</v>
      </c>
      <c r="F88" s="153">
        <f t="shared" si="41"/>
        <v>2000</v>
      </c>
      <c r="G88" s="153"/>
      <c r="H88" s="153"/>
      <c r="I88" s="153"/>
      <c r="J88" s="153"/>
      <c r="K88" s="153"/>
      <c r="L88" s="153">
        <v>2000</v>
      </c>
      <c r="M88" s="153">
        <v>2000</v>
      </c>
      <c r="N88" s="153">
        <v>2000</v>
      </c>
    </row>
    <row r="89" spans="1:14" ht="18.75" customHeight="1" x14ac:dyDescent="0.25">
      <c r="A89" s="87" t="s">
        <v>347</v>
      </c>
      <c r="B89" s="173">
        <f t="shared" si="42"/>
        <v>2045</v>
      </c>
      <c r="C89" s="173">
        <v>2017</v>
      </c>
      <c r="D89" s="172">
        <f t="shared" ref="D89" si="44">L89</f>
        <v>6000</v>
      </c>
      <c r="E89" s="172">
        <f t="shared" ref="E89" si="45">M89</f>
        <v>0</v>
      </c>
      <c r="F89" s="172">
        <f t="shared" ref="F89" si="46">N89</f>
        <v>0</v>
      </c>
      <c r="G89" s="172"/>
      <c r="H89" s="172"/>
      <c r="I89" s="172"/>
      <c r="J89" s="172"/>
      <c r="K89" s="172"/>
      <c r="L89" s="172">
        <v>6000</v>
      </c>
      <c r="M89" s="172">
        <v>0</v>
      </c>
      <c r="N89" s="172">
        <v>0</v>
      </c>
    </row>
    <row r="90" spans="1:14" ht="36.75" customHeight="1" x14ac:dyDescent="0.25">
      <c r="A90" s="87" t="s">
        <v>186</v>
      </c>
      <c r="B90" s="173">
        <f t="shared" si="42"/>
        <v>2046</v>
      </c>
      <c r="C90" s="156">
        <v>2017</v>
      </c>
      <c r="D90" s="153">
        <f t="shared" si="43"/>
        <v>5000</v>
      </c>
      <c r="E90" s="153">
        <f t="shared" si="40"/>
        <v>13000</v>
      </c>
      <c r="F90" s="153">
        <f t="shared" si="41"/>
        <v>13000</v>
      </c>
      <c r="G90" s="153"/>
      <c r="H90" s="153"/>
      <c r="I90" s="153"/>
      <c r="J90" s="153"/>
      <c r="K90" s="153"/>
      <c r="L90" s="153">
        <v>5000</v>
      </c>
      <c r="M90" s="153">
        <v>13000</v>
      </c>
      <c r="N90" s="153">
        <v>13000</v>
      </c>
    </row>
    <row r="91" spans="1:14" ht="36" customHeight="1" x14ac:dyDescent="0.25">
      <c r="A91" s="87" t="s">
        <v>189</v>
      </c>
      <c r="B91" s="173">
        <f t="shared" si="42"/>
        <v>2047</v>
      </c>
      <c r="C91" s="156">
        <v>2017</v>
      </c>
      <c r="D91" s="153">
        <f t="shared" si="43"/>
        <v>18000</v>
      </c>
      <c r="E91" s="153">
        <f t="shared" si="40"/>
        <v>79010</v>
      </c>
      <c r="F91" s="153">
        <f t="shared" si="41"/>
        <v>79010</v>
      </c>
      <c r="G91" s="153"/>
      <c r="H91" s="153"/>
      <c r="I91" s="153"/>
      <c r="J91" s="153"/>
      <c r="K91" s="153"/>
      <c r="L91" s="153">
        <v>18000</v>
      </c>
      <c r="M91" s="153">
        <v>79010</v>
      </c>
      <c r="N91" s="153">
        <v>79010</v>
      </c>
    </row>
    <row r="92" spans="1:14" ht="21.75" customHeight="1" x14ac:dyDescent="0.25">
      <c r="A92" s="87" t="s">
        <v>190</v>
      </c>
      <c r="B92" s="173">
        <f t="shared" si="42"/>
        <v>2048</v>
      </c>
      <c r="C92" s="156">
        <v>2017</v>
      </c>
      <c r="D92" s="153">
        <f t="shared" si="43"/>
        <v>40360</v>
      </c>
      <c r="E92" s="153">
        <f t="shared" si="40"/>
        <v>55000</v>
      </c>
      <c r="F92" s="153">
        <f t="shared" si="41"/>
        <v>55000</v>
      </c>
      <c r="G92" s="153"/>
      <c r="H92" s="153"/>
      <c r="I92" s="153"/>
      <c r="J92" s="153"/>
      <c r="K92" s="153"/>
      <c r="L92" s="153">
        <v>40360</v>
      </c>
      <c r="M92" s="153">
        <v>55000</v>
      </c>
      <c r="N92" s="153">
        <v>55000</v>
      </c>
    </row>
    <row r="93" spans="1:14" ht="51" customHeight="1" x14ac:dyDescent="0.25">
      <c r="A93" s="87" t="s">
        <v>191</v>
      </c>
      <c r="B93" s="173">
        <f t="shared" si="42"/>
        <v>2049</v>
      </c>
      <c r="C93" s="156">
        <v>2017</v>
      </c>
      <c r="D93" s="153">
        <f t="shared" si="43"/>
        <v>65600</v>
      </c>
      <c r="E93" s="153">
        <f t="shared" si="40"/>
        <v>53000</v>
      </c>
      <c r="F93" s="153">
        <f t="shared" si="41"/>
        <v>53000</v>
      </c>
      <c r="G93" s="153"/>
      <c r="H93" s="153"/>
      <c r="I93" s="153"/>
      <c r="J93" s="153"/>
      <c r="K93" s="153"/>
      <c r="L93" s="153">
        <v>65600</v>
      </c>
      <c r="M93" s="153">
        <v>53000</v>
      </c>
      <c r="N93" s="153">
        <v>53000</v>
      </c>
    </row>
    <row r="94" spans="1:14" ht="66.75" customHeight="1" x14ac:dyDescent="0.25">
      <c r="A94" s="87" t="s">
        <v>192</v>
      </c>
      <c r="B94" s="173">
        <f t="shared" si="42"/>
        <v>2050</v>
      </c>
      <c r="C94" s="156">
        <v>2017</v>
      </c>
      <c r="D94" s="153">
        <f t="shared" si="43"/>
        <v>21690</v>
      </c>
      <c r="E94" s="153">
        <f t="shared" si="40"/>
        <v>21290</v>
      </c>
      <c r="F94" s="153">
        <f t="shared" si="41"/>
        <v>21690</v>
      </c>
      <c r="G94" s="153"/>
      <c r="H94" s="153"/>
      <c r="I94" s="153"/>
      <c r="J94" s="153"/>
      <c r="K94" s="153"/>
      <c r="L94" s="153">
        <v>21690</v>
      </c>
      <c r="M94" s="153">
        <v>21290</v>
      </c>
      <c r="N94" s="153">
        <v>21690</v>
      </c>
    </row>
    <row r="95" spans="1:14" ht="33.75" customHeight="1" x14ac:dyDescent="0.25">
      <c r="A95" s="87" t="s">
        <v>193</v>
      </c>
      <c r="B95" s="173">
        <f t="shared" si="42"/>
        <v>2051</v>
      </c>
      <c r="C95" s="156">
        <v>2017</v>
      </c>
      <c r="D95" s="153">
        <f t="shared" si="43"/>
        <v>105656.43</v>
      </c>
      <c r="E95" s="153">
        <f t="shared" si="40"/>
        <v>110000</v>
      </c>
      <c r="F95" s="153">
        <f t="shared" si="41"/>
        <v>110000</v>
      </c>
      <c r="G95" s="153"/>
      <c r="H95" s="153"/>
      <c r="I95" s="153"/>
      <c r="J95" s="153"/>
      <c r="K95" s="153"/>
      <c r="L95" s="153">
        <v>105656.43</v>
      </c>
      <c r="M95" s="153">
        <v>110000</v>
      </c>
      <c r="N95" s="153">
        <v>110000</v>
      </c>
    </row>
    <row r="96" spans="1:14" ht="80.25" customHeight="1" x14ac:dyDescent="0.25">
      <c r="A96" s="87" t="s">
        <v>344</v>
      </c>
      <c r="B96" s="173">
        <f t="shared" si="42"/>
        <v>2052</v>
      </c>
      <c r="C96" s="171">
        <v>2017</v>
      </c>
      <c r="D96" s="170">
        <f t="shared" si="43"/>
        <v>51980</v>
      </c>
      <c r="E96" s="170">
        <f t="shared" si="40"/>
        <v>0</v>
      </c>
      <c r="F96" s="170">
        <f t="shared" si="41"/>
        <v>0</v>
      </c>
      <c r="G96" s="170"/>
      <c r="H96" s="170"/>
      <c r="I96" s="170"/>
      <c r="J96" s="170"/>
      <c r="K96" s="170"/>
      <c r="L96" s="170">
        <v>51980</v>
      </c>
      <c r="M96" s="170">
        <v>0</v>
      </c>
      <c r="N96" s="170">
        <v>0</v>
      </c>
    </row>
    <row r="97" spans="1:14" ht="47.25" x14ac:dyDescent="0.25">
      <c r="A97" s="87" t="s">
        <v>194</v>
      </c>
      <c r="B97" s="173">
        <f t="shared" si="42"/>
        <v>2053</v>
      </c>
      <c r="C97" s="156">
        <v>2017</v>
      </c>
      <c r="D97" s="153">
        <f t="shared" si="43"/>
        <v>89000</v>
      </c>
      <c r="E97" s="153">
        <f t="shared" si="40"/>
        <v>85000</v>
      </c>
      <c r="F97" s="153">
        <f t="shared" si="41"/>
        <v>85000</v>
      </c>
      <c r="G97" s="153"/>
      <c r="H97" s="153"/>
      <c r="I97" s="153"/>
      <c r="J97" s="153"/>
      <c r="K97" s="153"/>
      <c r="L97" s="153">
        <v>89000</v>
      </c>
      <c r="M97" s="153">
        <v>85000</v>
      </c>
      <c r="N97" s="153">
        <v>85000</v>
      </c>
    </row>
    <row r="98" spans="1:14" ht="63" x14ac:dyDescent="0.25">
      <c r="A98" s="87" t="s">
        <v>195</v>
      </c>
      <c r="B98" s="173">
        <f t="shared" si="42"/>
        <v>2054</v>
      </c>
      <c r="C98" s="156">
        <v>2017</v>
      </c>
      <c r="D98" s="153">
        <f t="shared" si="43"/>
        <v>25000</v>
      </c>
      <c r="E98" s="153">
        <f t="shared" si="40"/>
        <v>29000</v>
      </c>
      <c r="F98" s="153">
        <f t="shared" si="41"/>
        <v>29000</v>
      </c>
      <c r="G98" s="153"/>
      <c r="H98" s="153"/>
      <c r="I98" s="153"/>
      <c r="J98" s="153"/>
      <c r="K98" s="153"/>
      <c r="L98" s="153">
        <v>25000</v>
      </c>
      <c r="M98" s="153">
        <v>29000</v>
      </c>
      <c r="N98" s="153">
        <v>29000</v>
      </c>
    </row>
    <row r="99" spans="1:14" ht="15.75" x14ac:dyDescent="0.25">
      <c r="A99" s="87" t="s">
        <v>226</v>
      </c>
      <c r="B99" s="173">
        <f t="shared" si="42"/>
        <v>2055</v>
      </c>
      <c r="C99" s="156">
        <v>2017</v>
      </c>
      <c r="D99" s="153">
        <f t="shared" si="43"/>
        <v>22361.5</v>
      </c>
      <c r="E99" s="153">
        <f t="shared" si="40"/>
        <v>47613</v>
      </c>
      <c r="F99" s="153">
        <f t="shared" si="41"/>
        <v>12013</v>
      </c>
      <c r="G99" s="153"/>
      <c r="H99" s="153"/>
      <c r="I99" s="153"/>
      <c r="J99" s="153"/>
      <c r="K99" s="153"/>
      <c r="L99" s="153">
        <v>22361.5</v>
      </c>
      <c r="M99" s="153">
        <v>47613</v>
      </c>
      <c r="N99" s="153">
        <v>12013</v>
      </c>
    </row>
    <row r="100" spans="1:14" ht="15.75" x14ac:dyDescent="0.25">
      <c r="A100" s="87" t="s">
        <v>348</v>
      </c>
      <c r="B100" s="173">
        <f t="shared" si="42"/>
        <v>2056</v>
      </c>
      <c r="C100" s="173">
        <v>2017</v>
      </c>
      <c r="D100" s="172">
        <f t="shared" ref="D100" si="47">L100</f>
        <v>4000</v>
      </c>
      <c r="E100" s="172">
        <f t="shared" ref="E100" si="48">M100</f>
        <v>0</v>
      </c>
      <c r="F100" s="172">
        <f t="shared" ref="F100" si="49">N100</f>
        <v>0</v>
      </c>
      <c r="G100" s="172"/>
      <c r="H100" s="172"/>
      <c r="I100" s="172"/>
      <c r="J100" s="172"/>
      <c r="K100" s="172"/>
      <c r="L100" s="172">
        <v>4000</v>
      </c>
      <c r="M100" s="172">
        <v>0</v>
      </c>
      <c r="N100" s="172">
        <v>0</v>
      </c>
    </row>
    <row r="101" spans="1:14" ht="15.75" x14ac:dyDescent="0.25">
      <c r="A101" s="87" t="s">
        <v>227</v>
      </c>
      <c r="B101" s="173">
        <f t="shared" si="42"/>
        <v>2057</v>
      </c>
      <c r="C101" s="156">
        <v>2017</v>
      </c>
      <c r="D101" s="153">
        <f t="shared" si="43"/>
        <v>10000</v>
      </c>
      <c r="E101" s="153">
        <f t="shared" si="40"/>
        <v>10000</v>
      </c>
      <c r="F101" s="153">
        <f t="shared" si="41"/>
        <v>10000</v>
      </c>
      <c r="G101" s="153"/>
      <c r="H101" s="153"/>
      <c r="I101" s="153"/>
      <c r="J101" s="153"/>
      <c r="K101" s="153"/>
      <c r="L101" s="153">
        <v>10000</v>
      </c>
      <c r="M101" s="153">
        <v>10000</v>
      </c>
      <c r="N101" s="153">
        <v>10000</v>
      </c>
    </row>
    <row r="102" spans="1:14" ht="64.5" customHeight="1" x14ac:dyDescent="0.25">
      <c r="A102" s="87" t="s">
        <v>196</v>
      </c>
      <c r="B102" s="173">
        <f t="shared" si="42"/>
        <v>2058</v>
      </c>
      <c r="C102" s="156">
        <v>2017</v>
      </c>
      <c r="D102" s="153">
        <f t="shared" si="43"/>
        <v>16000</v>
      </c>
      <c r="E102" s="153">
        <f t="shared" si="40"/>
        <v>8000</v>
      </c>
      <c r="F102" s="153">
        <f t="shared" si="41"/>
        <v>8000</v>
      </c>
      <c r="G102" s="153"/>
      <c r="H102" s="153"/>
      <c r="I102" s="153"/>
      <c r="J102" s="153"/>
      <c r="K102" s="153"/>
      <c r="L102" s="153">
        <v>16000</v>
      </c>
      <c r="M102" s="153">
        <v>8000</v>
      </c>
      <c r="N102" s="153">
        <v>8000</v>
      </c>
    </row>
    <row r="103" spans="1:14" ht="21" customHeight="1" x14ac:dyDescent="0.25">
      <c r="A103" s="87" t="s">
        <v>197</v>
      </c>
      <c r="B103" s="173">
        <f t="shared" si="42"/>
        <v>2059</v>
      </c>
      <c r="C103" s="156">
        <v>2017</v>
      </c>
      <c r="D103" s="153">
        <f t="shared" si="43"/>
        <v>2000</v>
      </c>
      <c r="E103" s="153">
        <f t="shared" si="40"/>
        <v>2000</v>
      </c>
      <c r="F103" s="153">
        <f t="shared" si="41"/>
        <v>2000</v>
      </c>
      <c r="G103" s="153"/>
      <c r="H103" s="153"/>
      <c r="I103" s="153"/>
      <c r="J103" s="153"/>
      <c r="K103" s="153"/>
      <c r="L103" s="153">
        <v>2000</v>
      </c>
      <c r="M103" s="153">
        <v>2000</v>
      </c>
      <c r="N103" s="153">
        <v>2000</v>
      </c>
    </row>
    <row r="104" spans="1:14" ht="20.25" customHeight="1" x14ac:dyDescent="0.25">
      <c r="A104" s="87" t="s">
        <v>198</v>
      </c>
      <c r="B104" s="173">
        <f t="shared" si="42"/>
        <v>2060</v>
      </c>
      <c r="C104" s="156">
        <v>2017</v>
      </c>
      <c r="D104" s="153">
        <f t="shared" si="43"/>
        <v>290000</v>
      </c>
      <c r="E104" s="153">
        <f t="shared" si="40"/>
        <v>200000</v>
      </c>
      <c r="F104" s="153">
        <f t="shared" si="41"/>
        <v>200000</v>
      </c>
      <c r="G104" s="153"/>
      <c r="H104" s="153"/>
      <c r="I104" s="153"/>
      <c r="J104" s="153"/>
      <c r="K104" s="153"/>
      <c r="L104" s="153">
        <f>190000+100000</f>
        <v>290000</v>
      </c>
      <c r="M104" s="153">
        <v>200000</v>
      </c>
      <c r="N104" s="153">
        <v>200000</v>
      </c>
    </row>
    <row r="105" spans="1:14" ht="20.25" customHeight="1" x14ac:dyDescent="0.25">
      <c r="A105" s="87" t="s">
        <v>199</v>
      </c>
      <c r="B105" s="173">
        <f t="shared" si="42"/>
        <v>2061</v>
      </c>
      <c r="C105" s="156">
        <v>2017</v>
      </c>
      <c r="D105" s="153">
        <f t="shared" si="43"/>
        <v>1250000</v>
      </c>
      <c r="E105" s="153">
        <f t="shared" si="40"/>
        <v>1000000</v>
      </c>
      <c r="F105" s="153">
        <f t="shared" si="41"/>
        <v>1040000</v>
      </c>
      <c r="G105" s="153"/>
      <c r="H105" s="153"/>
      <c r="I105" s="153"/>
      <c r="J105" s="153"/>
      <c r="K105" s="153"/>
      <c r="L105" s="153">
        <f>1250000-11000+11000</f>
        <v>1250000</v>
      </c>
      <c r="M105" s="153">
        <v>1000000</v>
      </c>
      <c r="N105" s="153">
        <v>1040000</v>
      </c>
    </row>
    <row r="106" spans="1:14" ht="54.75" customHeight="1" x14ac:dyDescent="0.25">
      <c r="A106" s="87" t="s">
        <v>200</v>
      </c>
      <c r="B106" s="173">
        <f t="shared" si="42"/>
        <v>2062</v>
      </c>
      <c r="C106" s="156">
        <v>2017</v>
      </c>
      <c r="D106" s="153">
        <f t="shared" si="43"/>
        <v>100000</v>
      </c>
      <c r="E106" s="153">
        <f t="shared" si="40"/>
        <v>100000</v>
      </c>
      <c r="F106" s="153">
        <f t="shared" si="41"/>
        <v>100000</v>
      </c>
      <c r="G106" s="153"/>
      <c r="H106" s="153"/>
      <c r="I106" s="153"/>
      <c r="J106" s="153"/>
      <c r="K106" s="153"/>
      <c r="L106" s="153">
        <v>100000</v>
      </c>
      <c r="M106" s="153">
        <v>100000</v>
      </c>
      <c r="N106" s="153">
        <v>100000</v>
      </c>
    </row>
    <row r="107" spans="1:14" ht="35.25" customHeight="1" x14ac:dyDescent="0.25">
      <c r="A107" s="87" t="s">
        <v>201</v>
      </c>
      <c r="B107" s="173">
        <f t="shared" si="42"/>
        <v>2063</v>
      </c>
      <c r="C107" s="156">
        <v>2017</v>
      </c>
      <c r="D107" s="153">
        <f t="shared" si="43"/>
        <v>50000</v>
      </c>
      <c r="E107" s="153">
        <f t="shared" si="40"/>
        <v>50000</v>
      </c>
      <c r="F107" s="153">
        <f t="shared" si="41"/>
        <v>50000</v>
      </c>
      <c r="G107" s="153"/>
      <c r="H107" s="153"/>
      <c r="I107" s="153"/>
      <c r="J107" s="153"/>
      <c r="K107" s="153"/>
      <c r="L107" s="153">
        <v>50000</v>
      </c>
      <c r="M107" s="153">
        <v>50000</v>
      </c>
      <c r="N107" s="153">
        <v>50000</v>
      </c>
    </row>
    <row r="108" spans="1:14" ht="52.5" customHeight="1" x14ac:dyDescent="0.25">
      <c r="A108" s="87" t="s">
        <v>202</v>
      </c>
      <c r="B108" s="173">
        <f t="shared" si="42"/>
        <v>2064</v>
      </c>
      <c r="C108" s="156">
        <v>2017</v>
      </c>
      <c r="D108" s="153">
        <f t="shared" si="43"/>
        <v>199180</v>
      </c>
      <c r="E108" s="153">
        <f t="shared" si="40"/>
        <v>189700</v>
      </c>
      <c r="F108" s="153">
        <f t="shared" si="41"/>
        <v>232700</v>
      </c>
      <c r="G108" s="153"/>
      <c r="H108" s="153"/>
      <c r="I108" s="153"/>
      <c r="J108" s="153"/>
      <c r="K108" s="153"/>
      <c r="L108" s="153">
        <f>159000+26000+40180-26000</f>
        <v>199180</v>
      </c>
      <c r="M108" s="153">
        <f>163700+26000</f>
        <v>189700</v>
      </c>
      <c r="N108" s="153">
        <f>206700+26000</f>
        <v>232700</v>
      </c>
    </row>
    <row r="109" spans="1:14" ht="19.5" customHeight="1" x14ac:dyDescent="0.25">
      <c r="A109" s="85">
        <v>310</v>
      </c>
      <c r="B109" s="85"/>
      <c r="C109" s="85"/>
      <c r="D109" s="152">
        <f t="shared" si="43"/>
        <v>1445529</v>
      </c>
      <c r="E109" s="86">
        <f t="shared" ref="E109:N109" si="50">SUM(E110:E110)</f>
        <v>215828</v>
      </c>
      <c r="F109" s="86">
        <f t="shared" si="50"/>
        <v>215828</v>
      </c>
      <c r="G109" s="86">
        <f t="shared" si="50"/>
        <v>0</v>
      </c>
      <c r="H109" s="86">
        <f t="shared" si="50"/>
        <v>0</v>
      </c>
      <c r="I109" s="86">
        <f t="shared" si="50"/>
        <v>0</v>
      </c>
      <c r="J109" s="86">
        <f t="shared" si="50"/>
        <v>0</v>
      </c>
      <c r="K109" s="86">
        <f t="shared" si="50"/>
        <v>0</v>
      </c>
      <c r="L109" s="86">
        <f t="shared" si="50"/>
        <v>1445529</v>
      </c>
      <c r="M109" s="86">
        <f t="shared" si="50"/>
        <v>215828</v>
      </c>
      <c r="N109" s="86">
        <f t="shared" si="50"/>
        <v>215828</v>
      </c>
    </row>
    <row r="110" spans="1:14" ht="23.25" customHeight="1" x14ac:dyDescent="0.25">
      <c r="A110" s="87" t="s">
        <v>203</v>
      </c>
      <c r="B110" s="156">
        <v>2065</v>
      </c>
      <c r="C110" s="156">
        <v>2017</v>
      </c>
      <c r="D110" s="153">
        <f t="shared" si="43"/>
        <v>1445529</v>
      </c>
      <c r="E110" s="153">
        <f t="shared" ref="E110:F112" si="51">M110</f>
        <v>215828</v>
      </c>
      <c r="F110" s="153">
        <f t="shared" si="51"/>
        <v>215828</v>
      </c>
      <c r="G110" s="153"/>
      <c r="H110" s="153"/>
      <c r="I110" s="153"/>
      <c r="J110" s="153"/>
      <c r="K110" s="153"/>
      <c r="L110" s="153">
        <f>215828+29701+1000000+200000</f>
        <v>1445529</v>
      </c>
      <c r="M110" s="153">
        <v>215828</v>
      </c>
      <c r="N110" s="153">
        <v>215828</v>
      </c>
    </row>
    <row r="111" spans="1:14" ht="19.5" customHeight="1" x14ac:dyDescent="0.25">
      <c r="A111" s="85">
        <v>340</v>
      </c>
      <c r="B111" s="85"/>
      <c r="C111" s="85"/>
      <c r="D111" s="152">
        <f t="shared" si="43"/>
        <v>1342567.8</v>
      </c>
      <c r="E111" s="86">
        <f t="shared" si="51"/>
        <v>1156320</v>
      </c>
      <c r="F111" s="86">
        <f t="shared" si="51"/>
        <v>1366320</v>
      </c>
      <c r="G111" s="86">
        <f t="shared" ref="G111:N111" si="52">SUM(G112:G124)</f>
        <v>0</v>
      </c>
      <c r="H111" s="86">
        <f t="shared" si="52"/>
        <v>0</v>
      </c>
      <c r="I111" s="86">
        <f t="shared" si="52"/>
        <v>0</v>
      </c>
      <c r="J111" s="86">
        <f t="shared" si="52"/>
        <v>0</v>
      </c>
      <c r="K111" s="86">
        <f t="shared" si="52"/>
        <v>0</v>
      </c>
      <c r="L111" s="86">
        <f t="shared" si="52"/>
        <v>1342567.8</v>
      </c>
      <c r="M111" s="86">
        <f t="shared" si="52"/>
        <v>1156320</v>
      </c>
      <c r="N111" s="86">
        <f t="shared" si="52"/>
        <v>1366320</v>
      </c>
    </row>
    <row r="112" spans="1:14" ht="18.75" customHeight="1" x14ac:dyDescent="0.25">
      <c r="A112" s="89" t="s">
        <v>204</v>
      </c>
      <c r="B112" s="156">
        <v>2066</v>
      </c>
      <c r="C112" s="156">
        <v>2017</v>
      </c>
      <c r="D112" s="153">
        <f t="shared" si="43"/>
        <v>5000</v>
      </c>
      <c r="E112" s="153">
        <f t="shared" si="51"/>
        <v>5000</v>
      </c>
      <c r="F112" s="153">
        <f t="shared" si="51"/>
        <v>5000</v>
      </c>
      <c r="G112" s="153"/>
      <c r="H112" s="153"/>
      <c r="I112" s="153"/>
      <c r="J112" s="153"/>
      <c r="K112" s="153"/>
      <c r="L112" s="153">
        <v>5000</v>
      </c>
      <c r="M112" s="153">
        <v>5000</v>
      </c>
      <c r="N112" s="153">
        <v>5000</v>
      </c>
    </row>
    <row r="113" spans="1:14" ht="33.75" customHeight="1" x14ac:dyDescent="0.25">
      <c r="A113" s="87" t="s">
        <v>205</v>
      </c>
      <c r="B113" s="156">
        <f>B112+1</f>
        <v>2067</v>
      </c>
      <c r="C113" s="156">
        <v>2017</v>
      </c>
      <c r="D113" s="153">
        <f t="shared" si="43"/>
        <v>17000</v>
      </c>
      <c r="E113" s="153">
        <f t="shared" ref="E113:E124" si="53">M113</f>
        <v>9100</v>
      </c>
      <c r="F113" s="153">
        <f t="shared" ref="F113:F124" si="54">N113</f>
        <v>9100</v>
      </c>
      <c r="G113" s="153"/>
      <c r="H113" s="153"/>
      <c r="I113" s="153"/>
      <c r="J113" s="153"/>
      <c r="K113" s="153"/>
      <c r="L113" s="153">
        <f>9100+7900</f>
        <v>17000</v>
      </c>
      <c r="M113" s="153">
        <v>9100</v>
      </c>
      <c r="N113" s="153">
        <v>9100</v>
      </c>
    </row>
    <row r="114" spans="1:14" ht="22.5" customHeight="1" x14ac:dyDescent="0.25">
      <c r="A114" s="89" t="s">
        <v>206</v>
      </c>
      <c r="B114" s="158">
        <f t="shared" ref="B114:B124" si="55">B113+1</f>
        <v>2068</v>
      </c>
      <c r="C114" s="156">
        <v>2017</v>
      </c>
      <c r="D114" s="153">
        <f t="shared" si="43"/>
        <v>86190</v>
      </c>
      <c r="E114" s="153">
        <f t="shared" si="53"/>
        <v>121190</v>
      </c>
      <c r="F114" s="153">
        <f t="shared" si="54"/>
        <v>121190</v>
      </c>
      <c r="G114" s="153"/>
      <c r="H114" s="153"/>
      <c r="I114" s="153"/>
      <c r="J114" s="153"/>
      <c r="K114" s="153"/>
      <c r="L114" s="153">
        <v>86190</v>
      </c>
      <c r="M114" s="153">
        <v>121190</v>
      </c>
      <c r="N114" s="153">
        <v>121190</v>
      </c>
    </row>
    <row r="115" spans="1:14" ht="18.75" customHeight="1" x14ac:dyDescent="0.25">
      <c r="A115" s="89" t="s">
        <v>207</v>
      </c>
      <c r="B115" s="158">
        <f t="shared" si="55"/>
        <v>2069</v>
      </c>
      <c r="C115" s="156">
        <v>2017</v>
      </c>
      <c r="D115" s="153">
        <f t="shared" si="43"/>
        <v>1050</v>
      </c>
      <c r="E115" s="153">
        <f t="shared" si="53"/>
        <v>1000</v>
      </c>
      <c r="F115" s="153">
        <f t="shared" si="54"/>
        <v>1000</v>
      </c>
      <c r="G115" s="153"/>
      <c r="H115" s="153"/>
      <c r="I115" s="153"/>
      <c r="J115" s="153"/>
      <c r="K115" s="153"/>
      <c r="L115" s="153">
        <v>1050</v>
      </c>
      <c r="M115" s="153">
        <v>1000</v>
      </c>
      <c r="N115" s="153">
        <v>1000</v>
      </c>
    </row>
    <row r="116" spans="1:14" ht="19.5" customHeight="1" x14ac:dyDescent="0.25">
      <c r="A116" s="89" t="s">
        <v>208</v>
      </c>
      <c r="B116" s="158">
        <f t="shared" si="55"/>
        <v>2070</v>
      </c>
      <c r="C116" s="156">
        <v>2017</v>
      </c>
      <c r="D116" s="153">
        <f t="shared" si="43"/>
        <v>402547.8</v>
      </c>
      <c r="E116" s="153">
        <f t="shared" si="53"/>
        <v>219300</v>
      </c>
      <c r="F116" s="153">
        <f t="shared" si="54"/>
        <v>219300</v>
      </c>
      <c r="G116" s="153"/>
      <c r="H116" s="153"/>
      <c r="I116" s="153"/>
      <c r="J116" s="153"/>
      <c r="K116" s="153"/>
      <c r="L116" s="153">
        <f>311400+91147.8</f>
        <v>402547.8</v>
      </c>
      <c r="M116" s="153">
        <v>219300</v>
      </c>
      <c r="N116" s="153">
        <v>219300</v>
      </c>
    </row>
    <row r="117" spans="1:14" ht="21.75" customHeight="1" x14ac:dyDescent="0.25">
      <c r="A117" s="89" t="s">
        <v>209</v>
      </c>
      <c r="B117" s="158">
        <f t="shared" si="55"/>
        <v>2071</v>
      </c>
      <c r="C117" s="156">
        <v>2017</v>
      </c>
      <c r="D117" s="153">
        <f t="shared" si="43"/>
        <v>22400</v>
      </c>
      <c r="E117" s="153">
        <f t="shared" si="53"/>
        <v>22400</v>
      </c>
      <c r="F117" s="153">
        <f t="shared" si="54"/>
        <v>22400</v>
      </c>
      <c r="G117" s="153"/>
      <c r="H117" s="153"/>
      <c r="I117" s="153"/>
      <c r="J117" s="153"/>
      <c r="K117" s="153"/>
      <c r="L117" s="153">
        <v>22400</v>
      </c>
      <c r="M117" s="153">
        <v>22400</v>
      </c>
      <c r="N117" s="153">
        <v>22400</v>
      </c>
    </row>
    <row r="118" spans="1:14" ht="20.25" customHeight="1" x14ac:dyDescent="0.25">
      <c r="A118" s="89" t="s">
        <v>210</v>
      </c>
      <c r="B118" s="158">
        <f t="shared" si="55"/>
        <v>2072</v>
      </c>
      <c r="C118" s="156">
        <v>2017</v>
      </c>
      <c r="D118" s="153">
        <f t="shared" si="43"/>
        <v>137950</v>
      </c>
      <c r="E118" s="153">
        <f t="shared" si="53"/>
        <v>168000</v>
      </c>
      <c r="F118" s="153">
        <f t="shared" si="54"/>
        <v>168000</v>
      </c>
      <c r="G118" s="153"/>
      <c r="H118" s="153"/>
      <c r="I118" s="153"/>
      <c r="J118" s="153"/>
      <c r="K118" s="153"/>
      <c r="L118" s="153">
        <v>137950</v>
      </c>
      <c r="M118" s="153">
        <v>168000</v>
      </c>
      <c r="N118" s="153">
        <v>168000</v>
      </c>
    </row>
    <row r="119" spans="1:14" ht="19.5" customHeight="1" x14ac:dyDescent="0.25">
      <c r="A119" s="89" t="s">
        <v>55</v>
      </c>
      <c r="B119" s="158">
        <f t="shared" si="55"/>
        <v>2073</v>
      </c>
      <c r="C119" s="156">
        <v>2017</v>
      </c>
      <c r="D119" s="153">
        <f t="shared" si="43"/>
        <v>22627</v>
      </c>
      <c r="E119" s="153">
        <f t="shared" si="53"/>
        <v>20600</v>
      </c>
      <c r="F119" s="153">
        <f t="shared" si="54"/>
        <v>20600</v>
      </c>
      <c r="G119" s="153"/>
      <c r="H119" s="153"/>
      <c r="I119" s="153"/>
      <c r="J119" s="153"/>
      <c r="K119" s="153"/>
      <c r="L119" s="153">
        <f>20600+1400+627</f>
        <v>22627</v>
      </c>
      <c r="M119" s="153">
        <v>20600</v>
      </c>
      <c r="N119" s="153">
        <v>20600</v>
      </c>
    </row>
    <row r="120" spans="1:14" ht="33.75" customHeight="1" x14ac:dyDescent="0.25">
      <c r="A120" s="89" t="s">
        <v>211</v>
      </c>
      <c r="B120" s="158">
        <f t="shared" si="55"/>
        <v>2074</v>
      </c>
      <c r="C120" s="156">
        <v>2017</v>
      </c>
      <c r="D120" s="153">
        <f t="shared" si="43"/>
        <v>235400</v>
      </c>
      <c r="E120" s="153">
        <f t="shared" si="53"/>
        <v>135400</v>
      </c>
      <c r="F120" s="153">
        <f t="shared" si="54"/>
        <v>435400</v>
      </c>
      <c r="G120" s="153"/>
      <c r="H120" s="153"/>
      <c r="I120" s="153"/>
      <c r="J120" s="153"/>
      <c r="K120" s="153"/>
      <c r="L120" s="153">
        <f>230400+5000</f>
        <v>235400</v>
      </c>
      <c r="M120" s="153">
        <f>130400+5000</f>
        <v>135400</v>
      </c>
      <c r="N120" s="153">
        <f>430400+5000</f>
        <v>435400</v>
      </c>
    </row>
    <row r="121" spans="1:14" ht="23.25" customHeight="1" x14ac:dyDescent="0.25">
      <c r="A121" s="89" t="s">
        <v>212</v>
      </c>
      <c r="B121" s="158">
        <f t="shared" si="55"/>
        <v>2075</v>
      </c>
      <c r="C121" s="156">
        <v>2017</v>
      </c>
      <c r="D121" s="153">
        <f t="shared" si="43"/>
        <v>216403</v>
      </c>
      <c r="E121" s="153">
        <f t="shared" si="53"/>
        <v>228330</v>
      </c>
      <c r="F121" s="153">
        <f t="shared" si="54"/>
        <v>228330</v>
      </c>
      <c r="G121" s="153"/>
      <c r="H121" s="153"/>
      <c r="I121" s="153"/>
      <c r="J121" s="153"/>
      <c r="K121" s="153"/>
      <c r="L121" s="153">
        <f>212403+4000</f>
        <v>216403</v>
      </c>
      <c r="M121" s="153">
        <f>227730+600</f>
        <v>228330</v>
      </c>
      <c r="N121" s="153">
        <f>227730+600</f>
        <v>228330</v>
      </c>
    </row>
    <row r="122" spans="1:14" ht="30" customHeight="1" x14ac:dyDescent="0.25">
      <c r="A122" s="87" t="s">
        <v>213</v>
      </c>
      <c r="B122" s="158">
        <f t="shared" si="55"/>
        <v>2076</v>
      </c>
      <c r="C122" s="156">
        <v>2017</v>
      </c>
      <c r="D122" s="153">
        <f t="shared" si="43"/>
        <v>106000</v>
      </c>
      <c r="E122" s="153">
        <f t="shared" si="53"/>
        <v>136000</v>
      </c>
      <c r="F122" s="153">
        <f t="shared" si="54"/>
        <v>136000</v>
      </c>
      <c r="G122" s="153"/>
      <c r="H122" s="153"/>
      <c r="I122" s="153"/>
      <c r="J122" s="153"/>
      <c r="K122" s="153"/>
      <c r="L122" s="153">
        <v>106000</v>
      </c>
      <c r="M122" s="153">
        <v>136000</v>
      </c>
      <c r="N122" s="153">
        <v>136000</v>
      </c>
    </row>
    <row r="123" spans="1:14" ht="30" customHeight="1" x14ac:dyDescent="0.25">
      <c r="A123" s="87" t="s">
        <v>345</v>
      </c>
      <c r="B123" s="173">
        <f t="shared" si="55"/>
        <v>2077</v>
      </c>
      <c r="C123" s="173">
        <v>2017</v>
      </c>
      <c r="D123" s="172">
        <f t="shared" ref="D123" si="56">L123</f>
        <v>90000</v>
      </c>
      <c r="E123" s="172">
        <f t="shared" ref="E123" si="57">M123</f>
        <v>0</v>
      </c>
      <c r="F123" s="172">
        <f t="shared" ref="F123" si="58">N123</f>
        <v>0</v>
      </c>
      <c r="G123" s="172"/>
      <c r="H123" s="172"/>
      <c r="I123" s="172"/>
      <c r="J123" s="172"/>
      <c r="K123" s="172"/>
      <c r="L123" s="172">
        <v>90000</v>
      </c>
      <c r="M123" s="172">
        <v>0</v>
      </c>
      <c r="N123" s="172">
        <v>0</v>
      </c>
    </row>
    <row r="124" spans="1:14" ht="33" customHeight="1" x14ac:dyDescent="0.25">
      <c r="A124" s="89" t="s">
        <v>214</v>
      </c>
      <c r="B124" s="173">
        <f t="shared" si="55"/>
        <v>2078</v>
      </c>
      <c r="C124" s="156">
        <v>2017</v>
      </c>
      <c r="D124" s="153">
        <f t="shared" si="43"/>
        <v>0</v>
      </c>
      <c r="E124" s="153">
        <f t="shared" si="53"/>
        <v>90000</v>
      </c>
      <c r="F124" s="153">
        <f t="shared" si="54"/>
        <v>0</v>
      </c>
      <c r="G124" s="153"/>
      <c r="H124" s="153"/>
      <c r="I124" s="153"/>
      <c r="J124" s="153"/>
      <c r="K124" s="153"/>
      <c r="L124" s="153">
        <v>0</v>
      </c>
      <c r="M124" s="153">
        <v>90000</v>
      </c>
      <c r="N124" s="153">
        <f t="shared" ref="N124" si="59">Q124+T124+W124+Z124</f>
        <v>0</v>
      </c>
    </row>
    <row r="127" spans="1:14" s="99" customFormat="1" ht="23.25" customHeight="1" x14ac:dyDescent="0.3">
      <c r="A127" s="98" t="s">
        <v>351</v>
      </c>
      <c r="C127" s="100"/>
      <c r="D127" s="101"/>
      <c r="E127" s="102"/>
      <c r="F127" s="103"/>
      <c r="H127" s="100" t="s">
        <v>353</v>
      </c>
      <c r="L127" s="104"/>
    </row>
    <row r="128" spans="1:14" s="99" customFormat="1" ht="23.25" customHeight="1" x14ac:dyDescent="0.3">
      <c r="A128" s="98"/>
      <c r="C128" s="100"/>
      <c r="D128" s="114"/>
      <c r="E128" s="115"/>
      <c r="F128" s="103"/>
      <c r="H128" s="100"/>
      <c r="L128" s="104"/>
    </row>
    <row r="129" spans="1:12" s="99" customFormat="1" ht="23.25" customHeight="1" x14ac:dyDescent="0.3">
      <c r="A129" s="98" t="s">
        <v>363</v>
      </c>
      <c r="C129" s="100"/>
      <c r="D129" s="101"/>
      <c r="E129" s="102"/>
      <c r="F129" s="103"/>
      <c r="H129" s="100" t="s">
        <v>364</v>
      </c>
      <c r="L129" s="104"/>
    </row>
    <row r="130" spans="1:12" s="99" customFormat="1" ht="23.25" customHeight="1" x14ac:dyDescent="0.3">
      <c r="A130" s="98"/>
      <c r="C130" s="100"/>
      <c r="D130" s="114"/>
      <c r="E130" s="115"/>
      <c r="F130" s="103"/>
      <c r="H130" s="100"/>
      <c r="L130" s="104"/>
    </row>
    <row r="131" spans="1:12" s="110" customFormat="1" ht="18.75" x14ac:dyDescent="0.3">
      <c r="A131" s="111" t="s">
        <v>365</v>
      </c>
      <c r="C131" s="109"/>
      <c r="D131" s="109"/>
      <c r="E131" s="112"/>
      <c r="F131" s="109"/>
      <c r="L131" s="109"/>
    </row>
    <row r="132" spans="1:12" s="110" customFormat="1" ht="18.75" x14ac:dyDescent="0.3">
      <c r="A132" s="113" t="s">
        <v>352</v>
      </c>
      <c r="C132" s="109"/>
      <c r="D132" s="109"/>
      <c r="E132" s="112"/>
      <c r="F132" s="109"/>
    </row>
    <row r="133" spans="1:12" s="110" customFormat="1" ht="23.25" customHeight="1" x14ac:dyDescent="0.4">
      <c r="A133" s="105"/>
      <c r="B133" s="106"/>
      <c r="C133" s="107"/>
      <c r="D133" s="107"/>
      <c r="E133" s="108"/>
      <c r="F133" s="109"/>
    </row>
    <row r="134" spans="1:12" s="110" customFormat="1" ht="18.75" x14ac:dyDescent="0.3">
      <c r="A134" s="147"/>
      <c r="B134" s="111"/>
      <c r="C134" s="109"/>
      <c r="D134" s="109"/>
      <c r="E134" s="112"/>
      <c r="F134" s="109"/>
    </row>
  </sheetData>
  <mergeCells count="43">
    <mergeCell ref="B4:B11"/>
    <mergeCell ref="C4:C11"/>
    <mergeCell ref="D4:N4"/>
    <mergeCell ref="D5:N5"/>
    <mergeCell ref="D6:G8"/>
    <mergeCell ref="H6:N6"/>
    <mergeCell ref="H7:K7"/>
    <mergeCell ref="H8:K8"/>
    <mergeCell ref="L7:N8"/>
    <mergeCell ref="M9:M11"/>
    <mergeCell ref="N9:N11"/>
    <mergeCell ref="G43:H43"/>
    <mergeCell ref="K43:L43"/>
    <mergeCell ref="G39:H39"/>
    <mergeCell ref="K39:L39"/>
    <mergeCell ref="A1:N1"/>
    <mergeCell ref="D9:D11"/>
    <mergeCell ref="E9:E11"/>
    <mergeCell ref="F9:F11"/>
    <mergeCell ref="I9:I11"/>
    <mergeCell ref="J9:J11"/>
    <mergeCell ref="H9:H11"/>
    <mergeCell ref="K9:L11"/>
    <mergeCell ref="G18:H18"/>
    <mergeCell ref="K18:L18"/>
    <mergeCell ref="G19:H19"/>
    <mergeCell ref="K19:L19"/>
    <mergeCell ref="A2:N2"/>
    <mergeCell ref="K40:L40"/>
    <mergeCell ref="G41:H41"/>
    <mergeCell ref="K41:L41"/>
    <mergeCell ref="K42:L42"/>
    <mergeCell ref="G15:H15"/>
    <mergeCell ref="K15:L15"/>
    <mergeCell ref="G17:H17"/>
    <mergeCell ref="K17:L17"/>
    <mergeCell ref="G12:H12"/>
    <mergeCell ref="K12:L12"/>
    <mergeCell ref="G13:H13"/>
    <mergeCell ref="K13:L13"/>
    <mergeCell ref="G14:H14"/>
    <mergeCell ref="K14:L14"/>
    <mergeCell ref="A4:A11"/>
  </mergeCells>
  <pageMargins left="0.70866141732283472" right="0.70866141732283472" top="0.74803149606299213" bottom="0.74803149606299213" header="0.31496062992125984" footer="0.31496062992125984"/>
  <pageSetup paperSize="9" scale="48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1"/>
  <sheetViews>
    <sheetView zoomScaleNormal="100" workbookViewId="0">
      <selection activeCell="E13" sqref="E13"/>
    </sheetView>
  </sheetViews>
  <sheetFormatPr defaultRowHeight="15" x14ac:dyDescent="0.25"/>
  <cols>
    <col min="1" max="1" width="43.7109375" style="11" customWidth="1"/>
    <col min="2" max="2" width="10.5703125" style="28" customWidth="1"/>
    <col min="3" max="3" width="10.5703125" style="26" customWidth="1"/>
    <col min="4" max="4" width="14.42578125" style="26" hidden="1" customWidth="1"/>
    <col min="5" max="5" width="16.85546875" style="26" customWidth="1"/>
    <col min="6" max="6" width="15" style="11" customWidth="1"/>
    <col min="7" max="7" width="14.5703125" style="11" customWidth="1"/>
    <col min="8" max="8" width="14" style="11" customWidth="1"/>
    <col min="9" max="16384" width="9.140625" style="11"/>
  </cols>
  <sheetData>
    <row r="1" spans="1:10" ht="30.75" customHeight="1" x14ac:dyDescent="0.25">
      <c r="A1" s="194" t="s">
        <v>59</v>
      </c>
      <c r="B1" s="194"/>
      <c r="C1" s="194"/>
      <c r="D1" s="194"/>
      <c r="E1" s="194"/>
      <c r="F1" s="194"/>
      <c r="G1" s="194"/>
      <c r="H1" s="194"/>
    </row>
    <row r="3" spans="1:10" ht="14.25" customHeight="1" x14ac:dyDescent="0.25">
      <c r="A3" s="243" t="s">
        <v>37</v>
      </c>
      <c r="B3" s="243" t="s">
        <v>78</v>
      </c>
      <c r="C3" s="243" t="s">
        <v>39</v>
      </c>
      <c r="D3" s="243" t="s">
        <v>60</v>
      </c>
      <c r="E3" s="246" t="s">
        <v>99</v>
      </c>
      <c r="F3" s="240" t="s">
        <v>38</v>
      </c>
      <c r="G3" s="241"/>
      <c r="H3" s="242"/>
    </row>
    <row r="4" spans="1:10" ht="17.25" customHeight="1" x14ac:dyDescent="0.25">
      <c r="A4" s="244"/>
      <c r="B4" s="244"/>
      <c r="C4" s="244"/>
      <c r="D4" s="245"/>
      <c r="E4" s="246"/>
      <c r="F4" s="50" t="s">
        <v>100</v>
      </c>
      <c r="G4" s="50" t="s">
        <v>101</v>
      </c>
      <c r="H4" s="50" t="s">
        <v>102</v>
      </c>
    </row>
    <row r="5" spans="1:10" s="24" customFormat="1" ht="14.25" x14ac:dyDescent="0.25">
      <c r="A5" s="18">
        <v>1</v>
      </c>
      <c r="B5" s="32">
        <v>2</v>
      </c>
      <c r="C5" s="18">
        <v>3</v>
      </c>
      <c r="D5" s="18">
        <v>3</v>
      </c>
      <c r="E5" s="18">
        <v>4</v>
      </c>
      <c r="F5" s="47">
        <v>5</v>
      </c>
      <c r="G5" s="47">
        <v>6</v>
      </c>
      <c r="H5" s="47">
        <v>7</v>
      </c>
    </row>
    <row r="6" spans="1:10" ht="39" customHeight="1" x14ac:dyDescent="0.25">
      <c r="A6" s="238" t="s">
        <v>72</v>
      </c>
      <c r="B6" s="239"/>
      <c r="C6" s="239"/>
      <c r="D6" s="239"/>
      <c r="E6" s="239"/>
      <c r="F6" s="239"/>
      <c r="G6" s="239"/>
      <c r="H6" s="239"/>
    </row>
    <row r="7" spans="1:10" ht="30" x14ac:dyDescent="0.25">
      <c r="A7" s="22" t="s">
        <v>61</v>
      </c>
      <c r="B7" s="157" t="s">
        <v>40</v>
      </c>
      <c r="C7" s="157" t="s">
        <v>40</v>
      </c>
      <c r="D7" s="20"/>
      <c r="E7" s="62">
        <f>F7+G7+H7</f>
        <v>0</v>
      </c>
      <c r="F7" s="64">
        <v>0</v>
      </c>
      <c r="G7" s="64">
        <v>0</v>
      </c>
      <c r="H7" s="64">
        <v>0</v>
      </c>
    </row>
    <row r="8" spans="1:10" x14ac:dyDescent="0.25">
      <c r="A8" s="23" t="s">
        <v>63</v>
      </c>
      <c r="B8" s="157" t="s">
        <v>40</v>
      </c>
      <c r="C8" s="157" t="s">
        <v>40</v>
      </c>
      <c r="D8" s="20"/>
      <c r="E8" s="61">
        <f t="shared" ref="E8:E33" si="0">F8+G8+H8</f>
        <v>112784900</v>
      </c>
      <c r="F8" s="65">
        <f>37215760+1210000</f>
        <v>38425760</v>
      </c>
      <c r="G8" s="65">
        <v>37179370</v>
      </c>
      <c r="H8" s="65">
        <v>37179770</v>
      </c>
    </row>
    <row r="9" spans="1:10" x14ac:dyDescent="0.25">
      <c r="A9" s="23" t="s">
        <v>41</v>
      </c>
      <c r="B9" s="157" t="s">
        <v>40</v>
      </c>
      <c r="C9" s="157" t="s">
        <v>40</v>
      </c>
      <c r="D9" s="20"/>
      <c r="E9" s="61">
        <f t="shared" si="0"/>
        <v>112784900</v>
      </c>
      <c r="F9" s="65">
        <f>F10+F14+F30</f>
        <v>38425760</v>
      </c>
      <c r="G9" s="65">
        <f t="shared" ref="G9:H9" si="1">G10+G14+G30</f>
        <v>37179370</v>
      </c>
      <c r="H9" s="65">
        <f t="shared" si="1"/>
        <v>37179770</v>
      </c>
    </row>
    <row r="10" spans="1:10" s="19" customFormat="1" ht="29.25" x14ac:dyDescent="0.25">
      <c r="A10" s="41" t="s">
        <v>81</v>
      </c>
      <c r="B10" s="41">
        <v>110</v>
      </c>
      <c r="C10" s="41" t="s">
        <v>40</v>
      </c>
      <c r="D10" s="41"/>
      <c r="E10" s="63">
        <f t="shared" si="0"/>
        <v>100726300</v>
      </c>
      <c r="F10" s="71">
        <f>SUM(F11:F13)</f>
        <v>34468300</v>
      </c>
      <c r="G10" s="71">
        <f t="shared" ref="G10:H10" si="2">SUM(G11:G13)</f>
        <v>33129000</v>
      </c>
      <c r="H10" s="71">
        <f t="shared" si="2"/>
        <v>33129000</v>
      </c>
      <c r="I10" s="11"/>
      <c r="J10" s="11"/>
    </row>
    <row r="11" spans="1:10" x14ac:dyDescent="0.25">
      <c r="A11" s="22" t="s">
        <v>42</v>
      </c>
      <c r="B11" s="157">
        <v>111</v>
      </c>
      <c r="C11" s="157">
        <v>211</v>
      </c>
      <c r="D11" s="20"/>
      <c r="E11" s="62">
        <f t="shared" si="0"/>
        <v>77278400</v>
      </c>
      <c r="F11" s="64">
        <f>25459000+901400</f>
        <v>26360400</v>
      </c>
      <c r="G11" s="64">
        <v>25459000</v>
      </c>
      <c r="H11" s="64">
        <v>25459000</v>
      </c>
    </row>
    <row r="12" spans="1:10" x14ac:dyDescent="0.25">
      <c r="A12" s="22" t="s">
        <v>43</v>
      </c>
      <c r="B12" s="157">
        <v>112</v>
      </c>
      <c r="C12" s="157">
        <v>212</v>
      </c>
      <c r="D12" s="20"/>
      <c r="E12" s="62">
        <f t="shared" si="0"/>
        <v>261700</v>
      </c>
      <c r="F12" s="64">
        <f>32000+6700+159000</f>
        <v>197700</v>
      </c>
      <c r="G12" s="64">
        <v>32000</v>
      </c>
      <c r="H12" s="64">
        <v>32000</v>
      </c>
    </row>
    <row r="13" spans="1:10" ht="28.5" customHeight="1" x14ac:dyDescent="0.25">
      <c r="A13" s="22" t="s">
        <v>44</v>
      </c>
      <c r="B13" s="157">
        <v>119</v>
      </c>
      <c r="C13" s="157">
        <v>213</v>
      </c>
      <c r="D13" s="20"/>
      <c r="E13" s="62">
        <f t="shared" si="0"/>
        <v>23186200</v>
      </c>
      <c r="F13" s="64">
        <f>7638000+272200</f>
        <v>7910200</v>
      </c>
      <c r="G13" s="64">
        <v>7638000</v>
      </c>
      <c r="H13" s="64">
        <v>7638000</v>
      </c>
    </row>
    <row r="14" spans="1:10" s="19" customFormat="1" ht="57.75" x14ac:dyDescent="0.25">
      <c r="A14" s="41" t="s">
        <v>80</v>
      </c>
      <c r="B14" s="41">
        <v>244</v>
      </c>
      <c r="C14" s="41" t="s">
        <v>40</v>
      </c>
      <c r="D14" s="42"/>
      <c r="E14" s="63">
        <f t="shared" si="0"/>
        <v>10885600</v>
      </c>
      <c r="F14" s="71">
        <f>F15+F22+F23</f>
        <v>3566460</v>
      </c>
      <c r="G14" s="71">
        <f t="shared" ref="G14:H14" si="3">G15+G22+G23</f>
        <v>3659370</v>
      </c>
      <c r="H14" s="71">
        <f t="shared" si="3"/>
        <v>3659770</v>
      </c>
      <c r="I14" s="11"/>
      <c r="J14" s="11"/>
    </row>
    <row r="15" spans="1:10" x14ac:dyDescent="0.25">
      <c r="A15" s="23" t="s">
        <v>64</v>
      </c>
      <c r="B15" s="157">
        <v>244</v>
      </c>
      <c r="C15" s="157">
        <v>220</v>
      </c>
      <c r="D15" s="20"/>
      <c r="E15" s="61">
        <f t="shared" si="0"/>
        <v>9280900</v>
      </c>
      <c r="F15" s="65">
        <f>SUM(F16:F21)</f>
        <v>3011760</v>
      </c>
      <c r="G15" s="65">
        <f t="shared" ref="G15:H15" si="4">SUM(G16:G21)</f>
        <v>3134370</v>
      </c>
      <c r="H15" s="65">
        <f t="shared" si="4"/>
        <v>3134770</v>
      </c>
    </row>
    <row r="16" spans="1:10" x14ac:dyDescent="0.25">
      <c r="A16" s="22" t="s">
        <v>45</v>
      </c>
      <c r="B16" s="157">
        <v>244</v>
      </c>
      <c r="C16" s="157">
        <v>221</v>
      </c>
      <c r="D16" s="20"/>
      <c r="E16" s="62">
        <f t="shared" si="0"/>
        <v>915000</v>
      </c>
      <c r="F16" s="64">
        <v>305000</v>
      </c>
      <c r="G16" s="64">
        <v>305000</v>
      </c>
      <c r="H16" s="64">
        <v>305000</v>
      </c>
      <c r="I16" s="39"/>
      <c r="J16" s="39"/>
    </row>
    <row r="17" spans="1:10" x14ac:dyDescent="0.25">
      <c r="A17" s="22" t="s">
        <v>46</v>
      </c>
      <c r="B17" s="157">
        <v>244</v>
      </c>
      <c r="C17" s="157">
        <v>222</v>
      </c>
      <c r="D17" s="20"/>
      <c r="E17" s="62">
        <f t="shared" si="0"/>
        <v>318000</v>
      </c>
      <c r="F17" s="74">
        <f>159000-159000</f>
        <v>0</v>
      </c>
      <c r="G17" s="74">
        <v>159000</v>
      </c>
      <c r="H17" s="74">
        <v>159000</v>
      </c>
      <c r="I17" s="39"/>
      <c r="J17" s="39"/>
    </row>
    <row r="18" spans="1:10" x14ac:dyDescent="0.25">
      <c r="A18" s="22" t="s">
        <v>47</v>
      </c>
      <c r="B18" s="157">
        <v>244</v>
      </c>
      <c r="C18" s="157">
        <v>223</v>
      </c>
      <c r="D18" s="20"/>
      <c r="E18" s="62">
        <f t="shared" si="0"/>
        <v>3370210</v>
      </c>
      <c r="F18" s="64">
        <v>1140070</v>
      </c>
      <c r="G18" s="64">
        <v>1115070</v>
      </c>
      <c r="H18" s="64">
        <v>1115070</v>
      </c>
    </row>
    <row r="19" spans="1:10" x14ac:dyDescent="0.25">
      <c r="A19" s="22" t="s">
        <v>48</v>
      </c>
      <c r="B19" s="157">
        <v>244</v>
      </c>
      <c r="C19" s="157">
        <v>224</v>
      </c>
      <c r="D19" s="20"/>
      <c r="E19" s="62">
        <f t="shared" si="0"/>
        <v>0</v>
      </c>
      <c r="F19" s="64">
        <v>0</v>
      </c>
      <c r="G19" s="64">
        <v>0</v>
      </c>
      <c r="H19" s="64">
        <v>0</v>
      </c>
    </row>
    <row r="20" spans="1:10" ht="15" customHeight="1" x14ac:dyDescent="0.25">
      <c r="A20" s="22" t="s">
        <v>49</v>
      </c>
      <c r="B20" s="157">
        <v>244</v>
      </c>
      <c r="C20" s="157">
        <v>225</v>
      </c>
      <c r="D20" s="20"/>
      <c r="E20" s="62">
        <f t="shared" si="0"/>
        <v>1947000</v>
      </c>
      <c r="F20" s="64">
        <v>649000</v>
      </c>
      <c r="G20" s="64">
        <v>649000</v>
      </c>
      <c r="H20" s="64">
        <v>649000</v>
      </c>
    </row>
    <row r="21" spans="1:10" x14ac:dyDescent="0.25">
      <c r="A21" s="22" t="s">
        <v>50</v>
      </c>
      <c r="B21" s="157">
        <v>244</v>
      </c>
      <c r="C21" s="157">
        <v>226</v>
      </c>
      <c r="D21" s="20"/>
      <c r="E21" s="62">
        <f t="shared" si="0"/>
        <v>2730690</v>
      </c>
      <c r="F21" s="64">
        <v>917690</v>
      </c>
      <c r="G21" s="74">
        <v>906300</v>
      </c>
      <c r="H21" s="74">
        <v>906700</v>
      </c>
    </row>
    <row r="22" spans="1:10" s="19" customFormat="1" x14ac:dyDescent="0.25">
      <c r="A22" s="23" t="s">
        <v>51</v>
      </c>
      <c r="B22" s="157">
        <v>244</v>
      </c>
      <c r="C22" s="157">
        <v>290</v>
      </c>
      <c r="D22" s="37"/>
      <c r="E22" s="61">
        <f t="shared" si="0"/>
        <v>0</v>
      </c>
      <c r="F22" s="70">
        <v>0</v>
      </c>
      <c r="G22" s="70">
        <v>0</v>
      </c>
      <c r="H22" s="70">
        <v>0</v>
      </c>
      <c r="I22" s="43"/>
      <c r="J22" s="44"/>
    </row>
    <row r="23" spans="1:10" x14ac:dyDescent="0.25">
      <c r="A23" s="23" t="s">
        <v>52</v>
      </c>
      <c r="B23" s="157">
        <v>244</v>
      </c>
      <c r="C23" s="157">
        <v>300</v>
      </c>
      <c r="D23" s="25"/>
      <c r="E23" s="61">
        <f t="shared" si="0"/>
        <v>1604700</v>
      </c>
      <c r="F23" s="65">
        <f>F24+F25</f>
        <v>554700</v>
      </c>
      <c r="G23" s="65">
        <f t="shared" ref="G23:H23" si="5">G24+G25</f>
        <v>525000</v>
      </c>
      <c r="H23" s="65">
        <f t="shared" si="5"/>
        <v>525000</v>
      </c>
    </row>
    <row r="24" spans="1:10" x14ac:dyDescent="0.25">
      <c r="A24" s="22" t="s">
        <v>53</v>
      </c>
      <c r="B24" s="157">
        <v>244</v>
      </c>
      <c r="C24" s="157">
        <v>310</v>
      </c>
      <c r="D24" s="25"/>
      <c r="E24" s="62">
        <f t="shared" si="0"/>
        <v>0</v>
      </c>
      <c r="F24" s="64">
        <v>0</v>
      </c>
      <c r="G24" s="64">
        <v>0</v>
      </c>
      <c r="H24" s="64">
        <v>0</v>
      </c>
    </row>
    <row r="25" spans="1:10" ht="45" x14ac:dyDescent="0.25">
      <c r="A25" s="22" t="s">
        <v>54</v>
      </c>
      <c r="B25" s="157">
        <v>244</v>
      </c>
      <c r="C25" s="157">
        <v>340</v>
      </c>
      <c r="D25" s="25"/>
      <c r="E25" s="62">
        <f t="shared" si="0"/>
        <v>1604700</v>
      </c>
      <c r="F25" s="64">
        <f>SUM(F26:F29)</f>
        <v>554700</v>
      </c>
      <c r="G25" s="64">
        <f t="shared" ref="G25:H25" si="6">SUM(G26:G29)</f>
        <v>525000</v>
      </c>
      <c r="H25" s="64">
        <f t="shared" si="6"/>
        <v>525000</v>
      </c>
    </row>
    <row r="26" spans="1:10" ht="30" x14ac:dyDescent="0.25">
      <c r="A26" s="22" t="s">
        <v>58</v>
      </c>
      <c r="B26" s="157">
        <v>244</v>
      </c>
      <c r="C26" s="157">
        <v>341</v>
      </c>
      <c r="D26" s="25"/>
      <c r="E26" s="62">
        <f t="shared" si="0"/>
        <v>0</v>
      </c>
      <c r="F26" s="64">
        <v>0</v>
      </c>
      <c r="G26" s="64">
        <v>0</v>
      </c>
      <c r="H26" s="64">
        <v>0</v>
      </c>
    </row>
    <row r="27" spans="1:10" x14ac:dyDescent="0.25">
      <c r="A27" s="22" t="s">
        <v>55</v>
      </c>
      <c r="B27" s="157">
        <v>244</v>
      </c>
      <c r="C27" s="157">
        <v>342</v>
      </c>
      <c r="D27" s="25"/>
      <c r="E27" s="62">
        <f t="shared" si="0"/>
        <v>0</v>
      </c>
      <c r="F27" s="64">
        <v>0</v>
      </c>
      <c r="G27" s="64">
        <v>0</v>
      </c>
      <c r="H27" s="64">
        <v>0</v>
      </c>
    </row>
    <row r="28" spans="1:10" x14ac:dyDescent="0.25">
      <c r="A28" s="22" t="s">
        <v>56</v>
      </c>
      <c r="B28" s="157">
        <v>244</v>
      </c>
      <c r="C28" s="157">
        <v>343</v>
      </c>
      <c r="D28" s="25"/>
      <c r="E28" s="62">
        <f t="shared" si="0"/>
        <v>15000</v>
      </c>
      <c r="F28" s="64">
        <v>5000</v>
      </c>
      <c r="G28" s="64">
        <v>5000</v>
      </c>
      <c r="H28" s="64">
        <v>5000</v>
      </c>
    </row>
    <row r="29" spans="1:10" ht="30" x14ac:dyDescent="0.25">
      <c r="A29" s="22" t="s">
        <v>57</v>
      </c>
      <c r="B29" s="157">
        <v>244</v>
      </c>
      <c r="C29" s="157">
        <v>344</v>
      </c>
      <c r="D29" s="25"/>
      <c r="E29" s="62">
        <f t="shared" si="0"/>
        <v>1589700</v>
      </c>
      <c r="F29" s="64">
        <f>520000+29700</f>
        <v>549700</v>
      </c>
      <c r="G29" s="64">
        <v>520000</v>
      </c>
      <c r="H29" s="64">
        <v>520000</v>
      </c>
    </row>
    <row r="30" spans="1:10" s="19" customFormat="1" ht="28.5" x14ac:dyDescent="0.25">
      <c r="A30" s="41" t="s">
        <v>82</v>
      </c>
      <c r="B30" s="41">
        <v>850</v>
      </c>
      <c r="C30" s="41" t="s">
        <v>40</v>
      </c>
      <c r="D30" s="41"/>
      <c r="E30" s="63">
        <f t="shared" si="0"/>
        <v>1173000</v>
      </c>
      <c r="F30" s="63">
        <f>SUM(F31:F32)</f>
        <v>391000</v>
      </c>
      <c r="G30" s="63">
        <f t="shared" ref="G30:H30" si="7">SUM(G31:G32)</f>
        <v>391000</v>
      </c>
      <c r="H30" s="63">
        <f t="shared" si="7"/>
        <v>391000</v>
      </c>
      <c r="I30" s="43"/>
      <c r="J30" s="44"/>
    </row>
    <row r="31" spans="1:10" s="19" customFormat="1" ht="28.5" x14ac:dyDescent="0.25">
      <c r="A31" s="23" t="s">
        <v>79</v>
      </c>
      <c r="B31" s="157">
        <v>851</v>
      </c>
      <c r="C31" s="157">
        <v>290</v>
      </c>
      <c r="D31" s="157"/>
      <c r="E31" s="61">
        <f t="shared" si="0"/>
        <v>1143000</v>
      </c>
      <c r="F31" s="61">
        <v>381000</v>
      </c>
      <c r="G31" s="61">
        <v>381000</v>
      </c>
      <c r="H31" s="61">
        <v>381000</v>
      </c>
      <c r="I31" s="34"/>
      <c r="J31" s="35"/>
    </row>
    <row r="32" spans="1:10" s="19" customFormat="1" x14ac:dyDescent="0.25">
      <c r="A32" s="23" t="s">
        <v>76</v>
      </c>
      <c r="B32" s="157">
        <v>852</v>
      </c>
      <c r="C32" s="157">
        <v>290</v>
      </c>
      <c r="D32" s="157"/>
      <c r="E32" s="61">
        <f t="shared" si="0"/>
        <v>30000</v>
      </c>
      <c r="F32" s="61">
        <v>10000</v>
      </c>
      <c r="G32" s="61">
        <v>10000</v>
      </c>
      <c r="H32" s="61">
        <v>10000</v>
      </c>
      <c r="I32" s="34"/>
      <c r="J32" s="35"/>
    </row>
    <row r="33" spans="1:10" x14ac:dyDescent="0.25">
      <c r="A33" s="22" t="s">
        <v>62</v>
      </c>
      <c r="B33" s="157" t="s">
        <v>40</v>
      </c>
      <c r="C33" s="157" t="s">
        <v>40</v>
      </c>
      <c r="D33" s="25"/>
      <c r="E33" s="62">
        <f t="shared" si="0"/>
        <v>0</v>
      </c>
      <c r="F33" s="64">
        <v>0</v>
      </c>
      <c r="G33" s="64">
        <v>0</v>
      </c>
      <c r="H33" s="64">
        <v>0</v>
      </c>
    </row>
    <row r="34" spans="1:10" ht="20.25" customHeight="1" x14ac:dyDescent="0.25">
      <c r="A34" s="236" t="s">
        <v>65</v>
      </c>
      <c r="B34" s="237"/>
      <c r="C34" s="237"/>
      <c r="D34" s="237"/>
      <c r="E34" s="237"/>
      <c r="F34" s="237"/>
      <c r="G34" s="237"/>
      <c r="H34" s="237"/>
    </row>
    <row r="35" spans="1:10" ht="30" x14ac:dyDescent="0.25">
      <c r="A35" s="22" t="s">
        <v>61</v>
      </c>
      <c r="B35" s="157" t="s">
        <v>40</v>
      </c>
      <c r="C35" s="157" t="s">
        <v>40</v>
      </c>
      <c r="D35" s="20"/>
      <c r="E35" s="62">
        <f>F35+G35+H35</f>
        <v>0</v>
      </c>
      <c r="F35" s="64">
        <v>0</v>
      </c>
      <c r="G35" s="64">
        <v>0</v>
      </c>
      <c r="H35" s="64">
        <v>0</v>
      </c>
    </row>
    <row r="36" spans="1:10" x14ac:dyDescent="0.25">
      <c r="A36" s="23" t="s">
        <v>63</v>
      </c>
      <c r="B36" s="157" t="s">
        <v>40</v>
      </c>
      <c r="C36" s="157" t="s">
        <v>40</v>
      </c>
      <c r="D36" s="20"/>
      <c r="E36" s="61">
        <f t="shared" ref="E36:E61" si="8">F36+G36+H36</f>
        <v>112784900</v>
      </c>
      <c r="F36" s="65">
        <f>37215760+1210000</f>
        <v>38425760</v>
      </c>
      <c r="G36" s="65">
        <v>37179370</v>
      </c>
      <c r="H36" s="65">
        <v>37179770</v>
      </c>
    </row>
    <row r="37" spans="1:10" x14ac:dyDescent="0.25">
      <c r="A37" s="23" t="s">
        <v>41</v>
      </c>
      <c r="B37" s="157" t="s">
        <v>40</v>
      </c>
      <c r="C37" s="157" t="s">
        <v>40</v>
      </c>
      <c r="D37" s="20"/>
      <c r="E37" s="61">
        <f t="shared" si="8"/>
        <v>112784900</v>
      </c>
      <c r="F37" s="65">
        <f>F38+F42+F58</f>
        <v>38425760</v>
      </c>
      <c r="G37" s="65">
        <f t="shared" ref="G37:H37" si="9">G38+G42+G58</f>
        <v>37179370</v>
      </c>
      <c r="H37" s="65">
        <f t="shared" si="9"/>
        <v>37179770</v>
      </c>
    </row>
    <row r="38" spans="1:10" s="19" customFormat="1" ht="29.25" x14ac:dyDescent="0.25">
      <c r="A38" s="41" t="s">
        <v>81</v>
      </c>
      <c r="B38" s="41">
        <v>110</v>
      </c>
      <c r="C38" s="41" t="s">
        <v>40</v>
      </c>
      <c r="D38" s="41"/>
      <c r="E38" s="63">
        <f t="shared" si="8"/>
        <v>100726300</v>
      </c>
      <c r="F38" s="71">
        <f>SUM(F39:F41)</f>
        <v>34468300</v>
      </c>
      <c r="G38" s="71">
        <f t="shared" ref="G38:H38" si="10">SUM(G39:G41)</f>
        <v>33129000</v>
      </c>
      <c r="H38" s="71">
        <f t="shared" si="10"/>
        <v>33129000</v>
      </c>
      <c r="I38" s="11"/>
      <c r="J38" s="11"/>
    </row>
    <row r="39" spans="1:10" x14ac:dyDescent="0.25">
      <c r="A39" s="22" t="s">
        <v>42</v>
      </c>
      <c r="B39" s="157">
        <v>111</v>
      </c>
      <c r="C39" s="157">
        <v>211</v>
      </c>
      <c r="D39" s="20"/>
      <c r="E39" s="62">
        <f t="shared" si="8"/>
        <v>77278400</v>
      </c>
      <c r="F39" s="64">
        <f>25459000+901400</f>
        <v>26360400</v>
      </c>
      <c r="G39" s="64">
        <v>25459000</v>
      </c>
      <c r="H39" s="64">
        <v>25459000</v>
      </c>
    </row>
    <row r="40" spans="1:10" x14ac:dyDescent="0.25">
      <c r="A40" s="22" t="s">
        <v>43</v>
      </c>
      <c r="B40" s="157">
        <v>112</v>
      </c>
      <c r="C40" s="157">
        <v>212</v>
      </c>
      <c r="D40" s="20"/>
      <c r="E40" s="62">
        <f t="shared" si="8"/>
        <v>261700</v>
      </c>
      <c r="F40" s="64">
        <f>32000+6700+159000</f>
        <v>197700</v>
      </c>
      <c r="G40" s="64">
        <v>32000</v>
      </c>
      <c r="H40" s="64">
        <v>32000</v>
      </c>
    </row>
    <row r="41" spans="1:10" ht="28.5" customHeight="1" x14ac:dyDescent="0.25">
      <c r="A41" s="22" t="s">
        <v>44</v>
      </c>
      <c r="B41" s="157">
        <v>119</v>
      </c>
      <c r="C41" s="157">
        <v>213</v>
      </c>
      <c r="D41" s="20"/>
      <c r="E41" s="62">
        <f t="shared" si="8"/>
        <v>23186200</v>
      </c>
      <c r="F41" s="64">
        <f>7638000+272200</f>
        <v>7910200</v>
      </c>
      <c r="G41" s="64">
        <v>7638000</v>
      </c>
      <c r="H41" s="64">
        <v>7638000</v>
      </c>
    </row>
    <row r="42" spans="1:10" s="19" customFormat="1" ht="57.75" x14ac:dyDescent="0.25">
      <c r="A42" s="41" t="s">
        <v>80</v>
      </c>
      <c r="B42" s="41">
        <v>244</v>
      </c>
      <c r="C42" s="41" t="s">
        <v>40</v>
      </c>
      <c r="D42" s="42"/>
      <c r="E42" s="63">
        <f t="shared" si="8"/>
        <v>10885600</v>
      </c>
      <c r="F42" s="71">
        <f>F43+F50+F51</f>
        <v>3566460</v>
      </c>
      <c r="G42" s="71">
        <f t="shared" ref="G42:H42" si="11">G43+G50+G51</f>
        <v>3659370</v>
      </c>
      <c r="H42" s="71">
        <f t="shared" si="11"/>
        <v>3659770</v>
      </c>
      <c r="I42" s="11"/>
      <c r="J42" s="11"/>
    </row>
    <row r="43" spans="1:10" x14ac:dyDescent="0.25">
      <c r="A43" s="23" t="s">
        <v>64</v>
      </c>
      <c r="B43" s="157">
        <v>244</v>
      </c>
      <c r="C43" s="157">
        <v>220</v>
      </c>
      <c r="D43" s="20"/>
      <c r="E43" s="61">
        <f t="shared" si="8"/>
        <v>9280900</v>
      </c>
      <c r="F43" s="65">
        <f>SUM(F44:F49)</f>
        <v>3011760</v>
      </c>
      <c r="G43" s="65">
        <f t="shared" ref="G43:H43" si="12">SUM(G44:G49)</f>
        <v>3134370</v>
      </c>
      <c r="H43" s="65">
        <f t="shared" si="12"/>
        <v>3134770</v>
      </c>
    </row>
    <row r="44" spans="1:10" x14ac:dyDescent="0.25">
      <c r="A44" s="22" t="s">
        <v>45</v>
      </c>
      <c r="B44" s="157">
        <v>244</v>
      </c>
      <c r="C44" s="157">
        <v>221</v>
      </c>
      <c r="D44" s="20"/>
      <c r="E44" s="62">
        <f t="shared" si="8"/>
        <v>915000</v>
      </c>
      <c r="F44" s="64">
        <v>305000</v>
      </c>
      <c r="G44" s="64">
        <v>305000</v>
      </c>
      <c r="H44" s="64">
        <v>305000</v>
      </c>
      <c r="I44" s="39"/>
      <c r="J44" s="39"/>
    </row>
    <row r="45" spans="1:10" x14ac:dyDescent="0.25">
      <c r="A45" s="22" t="s">
        <v>46</v>
      </c>
      <c r="B45" s="157">
        <v>244</v>
      </c>
      <c r="C45" s="157">
        <v>222</v>
      </c>
      <c r="D45" s="20"/>
      <c r="E45" s="62">
        <f t="shared" si="8"/>
        <v>318000</v>
      </c>
      <c r="F45" s="74">
        <f>159000-159000</f>
        <v>0</v>
      </c>
      <c r="G45" s="74">
        <v>159000</v>
      </c>
      <c r="H45" s="74">
        <v>159000</v>
      </c>
      <c r="I45" s="39"/>
      <c r="J45" s="39"/>
    </row>
    <row r="46" spans="1:10" x14ac:dyDescent="0.25">
      <c r="A46" s="22" t="s">
        <v>47</v>
      </c>
      <c r="B46" s="157">
        <v>244</v>
      </c>
      <c r="C46" s="157">
        <v>223</v>
      </c>
      <c r="D46" s="20"/>
      <c r="E46" s="62">
        <f t="shared" si="8"/>
        <v>3370210</v>
      </c>
      <c r="F46" s="64">
        <v>1140070</v>
      </c>
      <c r="G46" s="64">
        <v>1115070</v>
      </c>
      <c r="H46" s="64">
        <v>1115070</v>
      </c>
    </row>
    <row r="47" spans="1:10" x14ac:dyDescent="0.25">
      <c r="A47" s="22" t="s">
        <v>48</v>
      </c>
      <c r="B47" s="157">
        <v>244</v>
      </c>
      <c r="C47" s="157">
        <v>224</v>
      </c>
      <c r="D47" s="20"/>
      <c r="E47" s="62">
        <f t="shared" si="8"/>
        <v>0</v>
      </c>
      <c r="F47" s="64">
        <v>0</v>
      </c>
      <c r="G47" s="64">
        <v>0</v>
      </c>
      <c r="H47" s="64">
        <v>0</v>
      </c>
    </row>
    <row r="48" spans="1:10" ht="30" customHeight="1" x14ac:dyDescent="0.25">
      <c r="A48" s="22" t="s">
        <v>49</v>
      </c>
      <c r="B48" s="157">
        <v>244</v>
      </c>
      <c r="C48" s="157">
        <v>225</v>
      </c>
      <c r="D48" s="20"/>
      <c r="E48" s="62">
        <f t="shared" si="8"/>
        <v>1947000</v>
      </c>
      <c r="F48" s="64">
        <v>649000</v>
      </c>
      <c r="G48" s="64">
        <v>649000</v>
      </c>
      <c r="H48" s="64">
        <v>649000</v>
      </c>
    </row>
    <row r="49" spans="1:10" x14ac:dyDescent="0.25">
      <c r="A49" s="22" t="s">
        <v>50</v>
      </c>
      <c r="B49" s="157">
        <v>244</v>
      </c>
      <c r="C49" s="157">
        <v>226</v>
      </c>
      <c r="D49" s="20"/>
      <c r="E49" s="62">
        <f t="shared" si="8"/>
        <v>2730690</v>
      </c>
      <c r="F49" s="64">
        <v>917690</v>
      </c>
      <c r="G49" s="74">
        <v>906300</v>
      </c>
      <c r="H49" s="74">
        <v>906700</v>
      </c>
    </row>
    <row r="50" spans="1:10" s="19" customFormat="1" x14ac:dyDescent="0.25">
      <c r="A50" s="23" t="s">
        <v>51</v>
      </c>
      <c r="B50" s="157">
        <v>244</v>
      </c>
      <c r="C50" s="157">
        <v>290</v>
      </c>
      <c r="D50" s="157"/>
      <c r="E50" s="61">
        <f t="shared" si="8"/>
        <v>0</v>
      </c>
      <c r="F50" s="70">
        <v>0</v>
      </c>
      <c r="G50" s="70">
        <v>0</v>
      </c>
      <c r="H50" s="70">
        <v>0</v>
      </c>
      <c r="I50" s="43"/>
      <c r="J50" s="44"/>
    </row>
    <row r="51" spans="1:10" x14ac:dyDescent="0.25">
      <c r="A51" s="23" t="s">
        <v>52</v>
      </c>
      <c r="B51" s="157">
        <v>244</v>
      </c>
      <c r="C51" s="157">
        <v>300</v>
      </c>
      <c r="D51" s="25"/>
      <c r="E51" s="61">
        <f t="shared" si="8"/>
        <v>1604700</v>
      </c>
      <c r="F51" s="65">
        <f>F52+F53</f>
        <v>554700</v>
      </c>
      <c r="G51" s="65">
        <f t="shared" ref="G51:H51" si="13">G52+G53</f>
        <v>525000</v>
      </c>
      <c r="H51" s="65">
        <f t="shared" si="13"/>
        <v>525000</v>
      </c>
    </row>
    <row r="52" spans="1:10" x14ac:dyDescent="0.25">
      <c r="A52" s="22" t="s">
        <v>53</v>
      </c>
      <c r="B52" s="157">
        <v>244</v>
      </c>
      <c r="C52" s="157">
        <v>310</v>
      </c>
      <c r="D52" s="25"/>
      <c r="E52" s="62">
        <f t="shared" si="8"/>
        <v>0</v>
      </c>
      <c r="F52" s="64">
        <v>0</v>
      </c>
      <c r="G52" s="64">
        <v>0</v>
      </c>
      <c r="H52" s="64">
        <v>0</v>
      </c>
    </row>
    <row r="53" spans="1:10" ht="45" x14ac:dyDescent="0.25">
      <c r="A53" s="22" t="s">
        <v>54</v>
      </c>
      <c r="B53" s="157">
        <v>244</v>
      </c>
      <c r="C53" s="157">
        <v>340</v>
      </c>
      <c r="D53" s="25"/>
      <c r="E53" s="62">
        <f t="shared" si="8"/>
        <v>1604700</v>
      </c>
      <c r="F53" s="64">
        <f>SUM(F54:F57)</f>
        <v>554700</v>
      </c>
      <c r="G53" s="64">
        <f t="shared" ref="G53:H53" si="14">SUM(G54:G57)</f>
        <v>525000</v>
      </c>
      <c r="H53" s="64">
        <f t="shared" si="14"/>
        <v>525000</v>
      </c>
    </row>
    <row r="54" spans="1:10" ht="30" x14ac:dyDescent="0.25">
      <c r="A54" s="22" t="s">
        <v>58</v>
      </c>
      <c r="B54" s="157">
        <v>244</v>
      </c>
      <c r="C54" s="157">
        <v>341</v>
      </c>
      <c r="D54" s="25"/>
      <c r="E54" s="62">
        <f t="shared" si="8"/>
        <v>0</v>
      </c>
      <c r="F54" s="64">
        <v>0</v>
      </c>
      <c r="G54" s="64">
        <v>0</v>
      </c>
      <c r="H54" s="64">
        <v>0</v>
      </c>
    </row>
    <row r="55" spans="1:10" x14ac:dyDescent="0.25">
      <c r="A55" s="22" t="s">
        <v>55</v>
      </c>
      <c r="B55" s="157">
        <v>244</v>
      </c>
      <c r="C55" s="157">
        <v>342</v>
      </c>
      <c r="D55" s="25"/>
      <c r="E55" s="62">
        <f t="shared" si="8"/>
        <v>0</v>
      </c>
      <c r="F55" s="64">
        <v>0</v>
      </c>
      <c r="G55" s="64">
        <v>0</v>
      </c>
      <c r="H55" s="64">
        <v>0</v>
      </c>
    </row>
    <row r="56" spans="1:10" x14ac:dyDescent="0.25">
      <c r="A56" s="22" t="s">
        <v>56</v>
      </c>
      <c r="B56" s="157">
        <v>244</v>
      </c>
      <c r="C56" s="157">
        <v>343</v>
      </c>
      <c r="D56" s="25"/>
      <c r="E56" s="62">
        <f t="shared" si="8"/>
        <v>15000</v>
      </c>
      <c r="F56" s="64">
        <v>5000</v>
      </c>
      <c r="G56" s="64">
        <v>5000</v>
      </c>
      <c r="H56" s="64">
        <v>5000</v>
      </c>
    </row>
    <row r="57" spans="1:10" ht="30" x14ac:dyDescent="0.25">
      <c r="A57" s="22" t="s">
        <v>57</v>
      </c>
      <c r="B57" s="157">
        <v>244</v>
      </c>
      <c r="C57" s="157">
        <v>344</v>
      </c>
      <c r="D57" s="25"/>
      <c r="E57" s="62">
        <f t="shared" si="8"/>
        <v>1589700</v>
      </c>
      <c r="F57" s="64">
        <f>520000+29700</f>
        <v>549700</v>
      </c>
      <c r="G57" s="64">
        <v>520000</v>
      </c>
      <c r="H57" s="64">
        <v>520000</v>
      </c>
    </row>
    <row r="58" spans="1:10" s="19" customFormat="1" ht="28.5" x14ac:dyDescent="0.25">
      <c r="A58" s="41" t="s">
        <v>82</v>
      </c>
      <c r="B58" s="41">
        <v>850</v>
      </c>
      <c r="C58" s="41" t="s">
        <v>40</v>
      </c>
      <c r="D58" s="41"/>
      <c r="E58" s="63">
        <f t="shared" si="8"/>
        <v>1173000</v>
      </c>
      <c r="F58" s="63">
        <f>SUM(F59:F60)</f>
        <v>391000</v>
      </c>
      <c r="G58" s="63">
        <f t="shared" ref="G58:H58" si="15">SUM(G59:G60)</f>
        <v>391000</v>
      </c>
      <c r="H58" s="63">
        <f t="shared" si="15"/>
        <v>391000</v>
      </c>
      <c r="I58" s="43"/>
      <c r="J58" s="44"/>
    </row>
    <row r="59" spans="1:10" s="19" customFormat="1" ht="28.5" x14ac:dyDescent="0.25">
      <c r="A59" s="23" t="s">
        <v>79</v>
      </c>
      <c r="B59" s="157">
        <v>851</v>
      </c>
      <c r="C59" s="157">
        <v>290</v>
      </c>
      <c r="D59" s="157"/>
      <c r="E59" s="61">
        <f t="shared" si="8"/>
        <v>1143000</v>
      </c>
      <c r="F59" s="61">
        <v>381000</v>
      </c>
      <c r="G59" s="61">
        <v>381000</v>
      </c>
      <c r="H59" s="61">
        <v>381000</v>
      </c>
      <c r="I59" s="34"/>
      <c r="J59" s="35"/>
    </row>
    <row r="60" spans="1:10" s="19" customFormat="1" x14ac:dyDescent="0.25">
      <c r="A60" s="23" t="s">
        <v>76</v>
      </c>
      <c r="B60" s="157">
        <v>852</v>
      </c>
      <c r="C60" s="157">
        <v>290</v>
      </c>
      <c r="D60" s="157"/>
      <c r="E60" s="61">
        <f t="shared" si="8"/>
        <v>30000</v>
      </c>
      <c r="F60" s="61">
        <v>10000</v>
      </c>
      <c r="G60" s="61">
        <v>10000</v>
      </c>
      <c r="H60" s="61">
        <v>10000</v>
      </c>
      <c r="I60" s="34"/>
      <c r="J60" s="35"/>
    </row>
    <row r="61" spans="1:10" x14ac:dyDescent="0.25">
      <c r="A61" s="22" t="s">
        <v>62</v>
      </c>
      <c r="B61" s="157" t="s">
        <v>40</v>
      </c>
      <c r="C61" s="157" t="s">
        <v>40</v>
      </c>
      <c r="D61" s="25"/>
      <c r="E61" s="62">
        <f t="shared" si="8"/>
        <v>0</v>
      </c>
      <c r="F61" s="64">
        <v>0</v>
      </c>
      <c r="G61" s="64">
        <v>0</v>
      </c>
      <c r="H61" s="64">
        <v>0</v>
      </c>
    </row>
  </sheetData>
  <mergeCells count="9">
    <mergeCell ref="A34:H34"/>
    <mergeCell ref="A1:H1"/>
    <mergeCell ref="A6:H6"/>
    <mergeCell ref="F3:H3"/>
    <mergeCell ref="A3:A4"/>
    <mergeCell ref="C3:C4"/>
    <mergeCell ref="D3:D4"/>
    <mergeCell ref="E3:E4"/>
    <mergeCell ref="B3:B4"/>
  </mergeCells>
  <phoneticPr fontId="12" type="noConversion"/>
  <pageMargins left="1.1811023622047245" right="0.39370078740157483" top="0.39370078740157483" bottom="0.39370078740157483" header="0.51181102362204722" footer="0.51181102362204722"/>
  <pageSetup paperSize="9" scale="59" fitToHeight="0" orientation="portrait" r:id="rId1"/>
  <headerFooter alignWithMargins="0"/>
  <rowBreaks count="1" manualBreakCount="1">
    <brk id="33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workbookViewId="0">
      <selection activeCell="G9" sqref="G9"/>
    </sheetView>
  </sheetViews>
  <sheetFormatPr defaultRowHeight="15" x14ac:dyDescent="0.25"/>
  <cols>
    <col min="1" max="1" width="45.28515625" style="11" customWidth="1"/>
    <col min="2" max="2" width="10.140625" style="11" customWidth="1"/>
    <col min="3" max="3" width="9.140625" style="26"/>
    <col min="4" max="5" width="14.42578125" style="26" hidden="1" customWidth="1"/>
    <col min="6" max="6" width="0.140625" style="26" customWidth="1"/>
    <col min="7" max="7" width="14.7109375" style="26" customWidth="1"/>
    <col min="8" max="8" width="12.85546875" style="11" customWidth="1"/>
    <col min="9" max="9" width="13.28515625" style="11" customWidth="1"/>
    <col min="10" max="10" width="13.140625" style="11" customWidth="1"/>
    <col min="11" max="16384" width="9.140625" style="11"/>
  </cols>
  <sheetData>
    <row r="1" spans="1:10" ht="30.75" customHeight="1" x14ac:dyDescent="0.25">
      <c r="A1" s="194" t="s">
        <v>66</v>
      </c>
      <c r="B1" s="194"/>
      <c r="C1" s="194"/>
      <c r="D1" s="194"/>
      <c r="E1" s="194"/>
      <c r="F1" s="194"/>
      <c r="G1" s="194"/>
      <c r="H1" s="194"/>
      <c r="I1" s="194"/>
      <c r="J1" s="194"/>
    </row>
    <row r="3" spans="1:10" ht="66" customHeight="1" x14ac:dyDescent="0.25">
      <c r="A3" s="194" t="s">
        <v>67</v>
      </c>
      <c r="B3" s="194"/>
      <c r="C3" s="194"/>
      <c r="D3" s="194"/>
      <c r="E3" s="194"/>
      <c r="F3" s="194"/>
      <c r="G3" s="194"/>
      <c r="H3" s="194"/>
      <c r="I3" s="194"/>
      <c r="J3" s="194"/>
    </row>
    <row r="5" spans="1:10" ht="14.25" customHeight="1" x14ac:dyDescent="0.25">
      <c r="A5" s="243" t="s">
        <v>37</v>
      </c>
      <c r="B5" s="243" t="s">
        <v>78</v>
      </c>
      <c r="C5" s="243" t="s">
        <v>39</v>
      </c>
      <c r="D5" s="243" t="s">
        <v>60</v>
      </c>
      <c r="E5" s="238" t="s">
        <v>103</v>
      </c>
      <c r="F5" s="239"/>
      <c r="G5" s="248"/>
      <c r="H5" s="247" t="s">
        <v>104</v>
      </c>
      <c r="I5" s="247"/>
      <c r="J5" s="247"/>
    </row>
    <row r="6" spans="1:10" ht="17.25" customHeight="1" x14ac:dyDescent="0.25">
      <c r="A6" s="244"/>
      <c r="B6" s="244"/>
      <c r="C6" s="244"/>
      <c r="D6" s="245"/>
      <c r="E6" s="249"/>
      <c r="F6" s="250"/>
      <c r="G6" s="251"/>
      <c r="H6" s="47" t="s">
        <v>100</v>
      </c>
      <c r="I6" s="47" t="s">
        <v>101</v>
      </c>
      <c r="J6" s="47" t="s">
        <v>102</v>
      </c>
    </row>
    <row r="7" spans="1:10" s="24" customFormat="1" ht="14.25" x14ac:dyDescent="0.25">
      <c r="A7" s="18">
        <v>1</v>
      </c>
      <c r="B7" s="33">
        <v>2</v>
      </c>
      <c r="C7" s="18">
        <v>3</v>
      </c>
      <c r="D7" s="18">
        <v>3</v>
      </c>
      <c r="E7" s="18">
        <v>4</v>
      </c>
      <c r="F7" s="18">
        <v>5</v>
      </c>
      <c r="G7" s="18">
        <v>4</v>
      </c>
      <c r="H7" s="47">
        <v>5</v>
      </c>
      <c r="I7" s="47">
        <v>6</v>
      </c>
      <c r="J7" s="47">
        <v>7</v>
      </c>
    </row>
    <row r="8" spans="1:10" ht="26.25" customHeight="1" x14ac:dyDescent="0.25">
      <c r="A8" s="22" t="s">
        <v>61</v>
      </c>
      <c r="B8" s="23"/>
      <c r="C8" s="157" t="s">
        <v>40</v>
      </c>
      <c r="D8" s="20"/>
      <c r="E8" s="20"/>
      <c r="F8" s="20"/>
      <c r="G8" s="62">
        <f>H8+I8+J8</f>
        <v>0</v>
      </c>
      <c r="H8" s="66">
        <v>0</v>
      </c>
      <c r="I8" s="64">
        <v>0</v>
      </c>
      <c r="J8" s="64">
        <v>0</v>
      </c>
    </row>
    <row r="9" spans="1:10" x14ac:dyDescent="0.25">
      <c r="A9" s="23" t="s">
        <v>63</v>
      </c>
      <c r="B9" s="23"/>
      <c r="C9" s="157" t="s">
        <v>40</v>
      </c>
      <c r="D9" s="20"/>
      <c r="E9" s="20"/>
      <c r="F9" s="20"/>
      <c r="G9" s="61">
        <f>H9+I9+J9</f>
        <v>3265248.7</v>
      </c>
      <c r="H9" s="61">
        <v>1207248.7</v>
      </c>
      <c r="I9" s="65">
        <v>1035000</v>
      </c>
      <c r="J9" s="65">
        <v>1023000</v>
      </c>
    </row>
    <row r="10" spans="1:10" ht="23.25" customHeight="1" x14ac:dyDescent="0.25">
      <c r="A10" s="23" t="s">
        <v>41</v>
      </c>
      <c r="B10" s="23"/>
      <c r="C10" s="157" t="s">
        <v>40</v>
      </c>
      <c r="D10" s="20"/>
      <c r="E10" s="20"/>
      <c r="F10" s="20"/>
      <c r="G10" s="61">
        <f t="shared" ref="G10" si="0">H10+I10+J10</f>
        <v>3265248.7</v>
      </c>
      <c r="H10" s="61">
        <f>H11</f>
        <v>1207248.7</v>
      </c>
      <c r="I10" s="65">
        <f>I11</f>
        <v>1035000</v>
      </c>
      <c r="J10" s="65">
        <f>J11</f>
        <v>1023000</v>
      </c>
    </row>
    <row r="11" spans="1:10" s="19" customFormat="1" ht="29.25" x14ac:dyDescent="0.25">
      <c r="A11" s="41" t="s">
        <v>81</v>
      </c>
      <c r="B11" s="41">
        <v>110</v>
      </c>
      <c r="C11" s="41" t="s">
        <v>40</v>
      </c>
      <c r="D11" s="41"/>
      <c r="E11" s="41"/>
      <c r="F11" s="43"/>
      <c r="G11" s="63">
        <f>H11+I11+J11</f>
        <v>3265248.7</v>
      </c>
      <c r="H11" s="63">
        <f>H12+H13</f>
        <v>1207248.7</v>
      </c>
      <c r="I11" s="63">
        <f t="shared" ref="I11:J11" si="1">I12+I13</f>
        <v>1035000</v>
      </c>
      <c r="J11" s="63">
        <f t="shared" si="1"/>
        <v>1023000</v>
      </c>
    </row>
    <row r="12" spans="1:10" x14ac:dyDescent="0.25">
      <c r="A12" s="22" t="s">
        <v>43</v>
      </c>
      <c r="B12" s="157">
        <v>112</v>
      </c>
      <c r="C12" s="157">
        <v>212</v>
      </c>
      <c r="D12" s="20"/>
      <c r="E12" s="20"/>
      <c r="F12" s="36"/>
      <c r="G12" s="62">
        <f>H12+I12+J12</f>
        <v>3258067.45</v>
      </c>
      <c r="H12" s="62">
        <f>1114000+100000-7181.25-6751.3</f>
        <v>1200067.45</v>
      </c>
      <c r="I12" s="64">
        <v>1035000</v>
      </c>
      <c r="J12" s="64">
        <v>1023000</v>
      </c>
    </row>
    <row r="13" spans="1:10" ht="28.5" customHeight="1" x14ac:dyDescent="0.25">
      <c r="A13" s="22" t="s">
        <v>44</v>
      </c>
      <c r="B13" s="157">
        <v>119</v>
      </c>
      <c r="C13" s="157">
        <v>213</v>
      </c>
      <c r="D13" s="20"/>
      <c r="E13" s="20"/>
      <c r="F13" s="20"/>
      <c r="G13" s="62">
        <f t="shared" ref="G13:G14" si="2">H13+I13+J13</f>
        <v>7181.25</v>
      </c>
      <c r="H13" s="62">
        <v>7181.25</v>
      </c>
      <c r="I13" s="64">
        <v>0</v>
      </c>
      <c r="J13" s="64">
        <v>0</v>
      </c>
    </row>
    <row r="14" spans="1:10" ht="30.75" customHeight="1" x14ac:dyDescent="0.25">
      <c r="A14" s="22" t="s">
        <v>62</v>
      </c>
      <c r="B14" s="157" t="s">
        <v>40</v>
      </c>
      <c r="C14" s="157" t="s">
        <v>40</v>
      </c>
      <c r="D14" s="25"/>
      <c r="E14" s="25"/>
      <c r="F14" s="38"/>
      <c r="G14" s="62">
        <f t="shared" si="2"/>
        <v>0</v>
      </c>
      <c r="H14" s="67">
        <v>0</v>
      </c>
      <c r="I14" s="64">
        <v>0</v>
      </c>
      <c r="J14" s="64">
        <v>0</v>
      </c>
    </row>
    <row r="17" spans="1:10" ht="49.5" customHeight="1" x14ac:dyDescent="0.25">
      <c r="A17" s="194" t="s">
        <v>68</v>
      </c>
      <c r="B17" s="194"/>
      <c r="C17" s="194"/>
      <c r="D17" s="194"/>
      <c r="E17" s="194"/>
      <c r="F17" s="194"/>
      <c r="G17" s="194"/>
      <c r="H17" s="194"/>
      <c r="I17" s="194"/>
      <c r="J17" s="194"/>
    </row>
    <row r="19" spans="1:10" x14ac:dyDescent="0.25">
      <c r="A19" s="243" t="s">
        <v>37</v>
      </c>
      <c r="B19" s="243" t="s">
        <v>78</v>
      </c>
      <c r="C19" s="243" t="s">
        <v>39</v>
      </c>
      <c r="D19" s="243" t="s">
        <v>60</v>
      </c>
      <c r="E19" s="238" t="s">
        <v>103</v>
      </c>
      <c r="F19" s="239"/>
      <c r="G19" s="248"/>
      <c r="H19" s="247" t="s">
        <v>104</v>
      </c>
      <c r="I19" s="247"/>
      <c r="J19" s="247"/>
    </row>
    <row r="20" spans="1:10" x14ac:dyDescent="0.25">
      <c r="A20" s="244"/>
      <c r="B20" s="244"/>
      <c r="C20" s="244"/>
      <c r="D20" s="245"/>
      <c r="E20" s="249"/>
      <c r="F20" s="250"/>
      <c r="G20" s="251"/>
      <c r="H20" s="47" t="s">
        <v>100</v>
      </c>
      <c r="I20" s="47" t="s">
        <v>101</v>
      </c>
      <c r="J20" s="47" t="s">
        <v>102</v>
      </c>
    </row>
    <row r="21" spans="1:10" x14ac:dyDescent="0.25">
      <c r="A21" s="18">
        <v>1</v>
      </c>
      <c r="B21" s="33">
        <v>2</v>
      </c>
      <c r="C21" s="18">
        <v>3</v>
      </c>
      <c r="D21" s="18">
        <v>3</v>
      </c>
      <c r="E21" s="18">
        <v>4</v>
      </c>
      <c r="F21" s="18">
        <v>5</v>
      </c>
      <c r="G21" s="18">
        <v>4</v>
      </c>
      <c r="H21" s="47">
        <v>5</v>
      </c>
      <c r="I21" s="47">
        <v>6</v>
      </c>
      <c r="J21" s="47">
        <v>7</v>
      </c>
    </row>
    <row r="22" spans="1:10" ht="26.25" customHeight="1" x14ac:dyDescent="0.25">
      <c r="A22" s="22" t="s">
        <v>61</v>
      </c>
      <c r="B22" s="23"/>
      <c r="C22" s="157" t="s">
        <v>40</v>
      </c>
      <c r="D22" s="20"/>
      <c r="E22" s="20"/>
      <c r="F22" s="20"/>
      <c r="G22" s="62">
        <f>H22+I22+J22</f>
        <v>0</v>
      </c>
      <c r="H22" s="66">
        <v>0</v>
      </c>
      <c r="I22" s="66">
        <v>0</v>
      </c>
      <c r="J22" s="66">
        <v>0</v>
      </c>
    </row>
    <row r="23" spans="1:10" x14ac:dyDescent="0.25">
      <c r="A23" s="23" t="s">
        <v>63</v>
      </c>
      <c r="B23" s="23"/>
      <c r="C23" s="157" t="s">
        <v>40</v>
      </c>
      <c r="D23" s="20"/>
      <c r="E23" s="20"/>
      <c r="F23" s="20"/>
      <c r="G23" s="61">
        <f t="shared" ref="G23:G24" si="3">H23+I23+J23</f>
        <v>675000</v>
      </c>
      <c r="H23" s="61">
        <v>225000</v>
      </c>
      <c r="I23" s="61">
        <v>225000</v>
      </c>
      <c r="J23" s="61">
        <v>225000</v>
      </c>
    </row>
    <row r="24" spans="1:10" ht="20.25" customHeight="1" x14ac:dyDescent="0.25">
      <c r="A24" s="23" t="s">
        <v>41</v>
      </c>
      <c r="B24" s="23"/>
      <c r="C24" s="157" t="s">
        <v>40</v>
      </c>
      <c r="D24" s="20"/>
      <c r="E24" s="20"/>
      <c r="F24" s="20"/>
      <c r="G24" s="61">
        <f t="shared" si="3"/>
        <v>675000</v>
      </c>
      <c r="H24" s="61">
        <f>H25</f>
        <v>225000</v>
      </c>
      <c r="I24" s="61">
        <f>I25</f>
        <v>225000</v>
      </c>
      <c r="J24" s="61">
        <f>J25</f>
        <v>225000</v>
      </c>
    </row>
    <row r="25" spans="1:10" s="19" customFormat="1" ht="29.25" x14ac:dyDescent="0.25">
      <c r="A25" s="41" t="s">
        <v>81</v>
      </c>
      <c r="B25" s="41">
        <v>110</v>
      </c>
      <c r="C25" s="41" t="s">
        <v>40</v>
      </c>
      <c r="D25" s="41"/>
      <c r="E25" s="41"/>
      <c r="F25" s="43"/>
      <c r="G25" s="63">
        <f>H25+I25+J25</f>
        <v>675000</v>
      </c>
      <c r="H25" s="63">
        <f>SUM(H26:H27)</f>
        <v>225000</v>
      </c>
      <c r="I25" s="63">
        <f>SUM(I26:I27)</f>
        <v>225000</v>
      </c>
      <c r="J25" s="63">
        <f>SUM(J26:J27)</f>
        <v>225000</v>
      </c>
    </row>
    <row r="26" spans="1:10" x14ac:dyDescent="0.25">
      <c r="A26" s="22" t="s">
        <v>43</v>
      </c>
      <c r="B26" s="157">
        <v>112</v>
      </c>
      <c r="C26" s="157">
        <v>212</v>
      </c>
      <c r="D26" s="20"/>
      <c r="E26" s="20"/>
      <c r="F26" s="20"/>
      <c r="G26" s="62">
        <f>H26+I26+J26</f>
        <v>525000</v>
      </c>
      <c r="H26" s="62">
        <v>175000</v>
      </c>
      <c r="I26" s="62">
        <v>175000</v>
      </c>
      <c r="J26" s="62">
        <v>175000</v>
      </c>
    </row>
    <row r="27" spans="1:10" ht="28.5" customHeight="1" x14ac:dyDescent="0.25">
      <c r="A27" s="22" t="s">
        <v>44</v>
      </c>
      <c r="B27" s="157">
        <v>119</v>
      </c>
      <c r="C27" s="157">
        <v>213</v>
      </c>
      <c r="D27" s="20"/>
      <c r="E27" s="20"/>
      <c r="F27" s="20"/>
      <c r="G27" s="62">
        <f t="shared" ref="G27:G28" si="4">H27+I27+J27</f>
        <v>150000</v>
      </c>
      <c r="H27" s="62">
        <v>50000</v>
      </c>
      <c r="I27" s="62">
        <v>50000</v>
      </c>
      <c r="J27" s="62">
        <v>50000</v>
      </c>
    </row>
    <row r="28" spans="1:10" ht="27" customHeight="1" x14ac:dyDescent="0.25">
      <c r="A28" s="22" t="s">
        <v>62</v>
      </c>
      <c r="B28" s="157" t="s">
        <v>40</v>
      </c>
      <c r="C28" s="157" t="s">
        <v>40</v>
      </c>
      <c r="D28" s="25"/>
      <c r="E28" s="25"/>
      <c r="F28" s="25"/>
      <c r="G28" s="62">
        <f t="shared" si="4"/>
        <v>0</v>
      </c>
      <c r="H28" s="67">
        <v>0</v>
      </c>
      <c r="I28" s="67">
        <v>0</v>
      </c>
      <c r="J28" s="67">
        <v>0</v>
      </c>
    </row>
  </sheetData>
  <mergeCells count="15">
    <mergeCell ref="A1:J1"/>
    <mergeCell ref="A3:J3"/>
    <mergeCell ref="H5:J5"/>
    <mergeCell ref="A19:A20"/>
    <mergeCell ref="C19:C20"/>
    <mergeCell ref="D19:D20"/>
    <mergeCell ref="E19:G20"/>
    <mergeCell ref="B19:B20"/>
    <mergeCell ref="A17:J17"/>
    <mergeCell ref="H19:J19"/>
    <mergeCell ref="A5:A6"/>
    <mergeCell ref="C5:C6"/>
    <mergeCell ref="D5:D6"/>
    <mergeCell ref="E5:G6"/>
    <mergeCell ref="B5:B6"/>
  </mergeCells>
  <phoneticPr fontId="12" type="noConversion"/>
  <pageMargins left="1.1811023622047245" right="0.39370078740157483" top="0.39370078740157483" bottom="0.39370078740157483" header="0.51181102362204722" footer="0.51181102362204722"/>
  <pageSetup paperSize="9" scale="71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18</vt:i4>
      </vt:variant>
      <vt:variant>
        <vt:lpstr>Именованные диапазоны</vt:lpstr>
      </vt:variant>
      <vt:variant>
        <vt:i4>1</vt:i4>
      </vt:variant>
    </vt:vector>
  </HeadingPairs>
  <TitlesOfParts>
    <vt:vector size="19" baseType="lpstr">
      <vt:lpstr>тит.лист</vt:lpstr>
      <vt:lpstr>раздел 2</vt:lpstr>
      <vt:lpstr>Т.1</vt:lpstr>
      <vt:lpstr>Т.2 на 2017</vt:lpstr>
      <vt:lpstr>Т.2 на 2018</vt:lpstr>
      <vt:lpstr>Т.2 на 2019</vt:lpstr>
      <vt:lpstr>Т.2.1</vt:lpstr>
      <vt:lpstr>ф.3</vt:lpstr>
      <vt:lpstr>ф.4</vt:lpstr>
      <vt:lpstr>ф.4 (2)</vt:lpstr>
      <vt:lpstr>ф.4 (3)</vt:lpstr>
      <vt:lpstr>ф.4 (4)</vt:lpstr>
      <vt:lpstr>ф.4 (5)</vt:lpstr>
      <vt:lpstr>ф.4(6)</vt:lpstr>
      <vt:lpstr>ф.5</vt:lpstr>
      <vt:lpstr>ф.6</vt:lpstr>
      <vt:lpstr>Т.3</vt:lpstr>
      <vt:lpstr>Т.4</vt:lpstr>
      <vt:lpstr>ф.6!Область_печати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Бурячинская ИВ</dc:creator>
  <cp:lastModifiedBy>Елена Владимировна Иванова</cp:lastModifiedBy>
  <cp:lastPrinted>2017-10-04T12:46:17Z</cp:lastPrinted>
  <dcterms:created xsi:type="dcterms:W3CDTF">2012-12-27T03:05:42Z</dcterms:created>
  <dcterms:modified xsi:type="dcterms:W3CDTF">2017-10-04T12:46:20Z</dcterms:modified>
</cp:coreProperties>
</file>