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65" windowWidth="16605" windowHeight="8715"/>
  </bookViews>
  <sheets>
    <sheet name="тит.лист" sheetId="11" r:id="rId1"/>
    <sheet name="раздел 2" sheetId="2" r:id="rId2"/>
    <sheet name="Т.1" sheetId="17" r:id="rId3"/>
    <sheet name="Т.2 на 2017" sheetId="25" r:id="rId4"/>
    <sheet name="Т.2 на 2018" sheetId="22" r:id="rId5"/>
    <sheet name="Т.2 на 2019" sheetId="24" r:id="rId6"/>
    <sheet name="Т.2.1" sheetId="12" r:id="rId7"/>
    <sheet name="ф.3" sheetId="5" r:id="rId8"/>
    <sheet name="ф.4" sheetId="7" r:id="rId9"/>
    <sheet name="ф.4 (2)" sheetId="13" r:id="rId10"/>
    <sheet name="ф.4 (3)" sheetId="14" r:id="rId11"/>
    <sheet name="ф.4 (4)" sheetId="15" r:id="rId12"/>
    <sheet name="ф.4 (5)" sheetId="16" r:id="rId13"/>
    <sheet name="ф.5" sheetId="9" r:id="rId14"/>
    <sheet name="ф.6" sheetId="10" r:id="rId15"/>
    <sheet name="Т.3" sheetId="18" r:id="rId16"/>
    <sheet name="Т.4" sheetId="19" r:id="rId17"/>
  </sheets>
  <externalReferences>
    <externalReference r:id="rId18"/>
  </externalReferences>
  <definedNames>
    <definedName name="_xlnm.Print_Area" localSheetId="14">ф.6!$A$1:$J$38</definedName>
  </definedNames>
  <calcPr calcId="144525"/>
</workbook>
</file>

<file path=xl/calcChain.xml><?xml version="1.0" encoding="utf-8"?>
<calcChain xmlns="http://schemas.openxmlformats.org/spreadsheetml/2006/main">
  <c r="D78" i="25" l="1"/>
  <c r="G77" i="25"/>
  <c r="F77" i="25"/>
  <c r="E77" i="25"/>
  <c r="D77" i="25"/>
  <c r="D74" i="25"/>
  <c r="G73" i="25"/>
  <c r="F73" i="25"/>
  <c r="E73" i="25"/>
  <c r="D73" i="25"/>
  <c r="G71" i="25"/>
  <c r="D71" i="25" s="1"/>
  <c r="G70" i="25"/>
  <c r="F70" i="25"/>
  <c r="E70" i="25"/>
  <c r="D70" i="25" s="1"/>
  <c r="G69" i="25"/>
  <c r="E69" i="25"/>
  <c r="D69" i="25" s="1"/>
  <c r="G68" i="25"/>
  <c r="F68" i="25"/>
  <c r="G67" i="25"/>
  <c r="G65" i="25" s="1"/>
  <c r="E67" i="25"/>
  <c r="D67" i="25"/>
  <c r="F65" i="25"/>
  <c r="E65" i="25"/>
  <c r="F64" i="25"/>
  <c r="G63" i="25"/>
  <c r="F63" i="25"/>
  <c r="D63" i="25" s="1"/>
  <c r="G61" i="25"/>
  <c r="E61" i="25"/>
  <c r="G60" i="25"/>
  <c r="E60" i="25"/>
  <c r="G59" i="25"/>
  <c r="F59" i="25"/>
  <c r="E59" i="25"/>
  <c r="D59" i="25" s="1"/>
  <c r="G58" i="25"/>
  <c r="E58" i="25"/>
  <c r="D58" i="25"/>
  <c r="G57" i="25"/>
  <c r="F57" i="25"/>
  <c r="E57" i="25"/>
  <c r="D57" i="25"/>
  <c r="G56" i="25"/>
  <c r="F56" i="25"/>
  <c r="E56" i="25"/>
  <c r="D56" i="25"/>
  <c r="G55" i="25"/>
  <c r="F55" i="25"/>
  <c r="E55" i="25"/>
  <c r="D55" i="25"/>
  <c r="G54" i="25"/>
  <c r="E54" i="25"/>
  <c r="D54" i="25" s="1"/>
  <c r="G53" i="25"/>
  <c r="E53" i="25"/>
  <c r="D53" i="25"/>
  <c r="G52" i="25"/>
  <c r="E52" i="25"/>
  <c r="D52" i="25" s="1"/>
  <c r="G51" i="25"/>
  <c r="G50" i="25" s="1"/>
  <c r="G44" i="25" s="1"/>
  <c r="G43" i="25" s="1"/>
  <c r="E51" i="25"/>
  <c r="D51" i="25"/>
  <c r="F50" i="25"/>
  <c r="D49" i="25"/>
  <c r="D48" i="25"/>
  <c r="G46" i="25"/>
  <c r="F46" i="25"/>
  <c r="E46" i="25"/>
  <c r="D46" i="25"/>
  <c r="F44" i="25"/>
  <c r="F43" i="25"/>
  <c r="F42" i="25"/>
  <c r="D42" i="25"/>
  <c r="G41" i="25"/>
  <c r="F41" i="25"/>
  <c r="E41" i="25"/>
  <c r="D41" i="25"/>
  <c r="F40" i="25"/>
  <c r="D40" i="25"/>
  <c r="G39" i="25"/>
  <c r="F39" i="25"/>
  <c r="E39" i="25"/>
  <c r="D39" i="25"/>
  <c r="F38" i="25"/>
  <c r="D38" i="25"/>
  <c r="G36" i="25"/>
  <c r="F36" i="25"/>
  <c r="E36" i="25"/>
  <c r="D36" i="25"/>
  <c r="G35" i="25"/>
  <c r="F35" i="25"/>
  <c r="E35" i="25"/>
  <c r="D35" i="25"/>
  <c r="F34" i="25"/>
  <c r="E34" i="25"/>
  <c r="D34" i="25" s="1"/>
  <c r="G33" i="25"/>
  <c r="F33" i="25"/>
  <c r="E33" i="25"/>
  <c r="D33" i="25" s="1"/>
  <c r="E31" i="25"/>
  <c r="D31" i="25" s="1"/>
  <c r="G29" i="25"/>
  <c r="F29" i="25"/>
  <c r="E29" i="25"/>
  <c r="D29" i="25" s="1"/>
  <c r="G27" i="25"/>
  <c r="F27" i="25"/>
  <c r="E27" i="25"/>
  <c r="D27" i="25" s="1"/>
  <c r="D24" i="25"/>
  <c r="D23" i="25"/>
  <c r="F22" i="25"/>
  <c r="D22" i="25" s="1"/>
  <c r="D21" i="25"/>
  <c r="E19" i="25"/>
  <c r="D19" i="25"/>
  <c r="G18" i="25"/>
  <c r="D18" i="25"/>
  <c r="D15" i="25"/>
  <c r="G14" i="25"/>
  <c r="D14" i="25" s="1"/>
  <c r="G12" i="25"/>
  <c r="D12" i="25" s="1"/>
  <c r="G11" i="25"/>
  <c r="E11" i="25"/>
  <c r="G10" i="25"/>
  <c r="D10" i="25" s="1"/>
  <c r="D61" i="25" l="1"/>
  <c r="G64" i="25"/>
  <c r="G26" i="25" s="1"/>
  <c r="D65" i="25"/>
  <c r="E68" i="25"/>
  <c r="F11" i="25"/>
  <c r="D11" i="25" s="1"/>
  <c r="E50" i="25"/>
  <c r="F61" i="25"/>
  <c r="F60" i="25" s="1"/>
  <c r="D60" i="25" s="1"/>
  <c r="D68" i="25" l="1"/>
  <c r="E64" i="25"/>
  <c r="D64" i="25" s="1"/>
  <c r="E44" i="25"/>
  <c r="D50" i="25"/>
  <c r="F26" i="25"/>
  <c r="E43" i="25" l="1"/>
  <c r="D44" i="25"/>
  <c r="D43" i="25" l="1"/>
  <c r="E26" i="25"/>
  <c r="D26" i="25" s="1"/>
  <c r="F41" i="5" l="1"/>
  <c r="F40" i="5"/>
  <c r="F39" i="5"/>
  <c r="F13" i="5"/>
  <c r="F11" i="5"/>
  <c r="N60" i="12" l="1"/>
  <c r="M60" i="12"/>
  <c r="N57" i="12"/>
  <c r="M57" i="12"/>
  <c r="L57" i="12"/>
  <c r="L60" i="12"/>
  <c r="L90" i="12"/>
  <c r="L58" i="12"/>
  <c r="N93" i="12"/>
  <c r="M93" i="12"/>
  <c r="L93" i="12"/>
  <c r="N105" i="12"/>
  <c r="M105" i="12"/>
  <c r="L105" i="12"/>
  <c r="N106" i="12"/>
  <c r="M106" i="12"/>
  <c r="L106" i="12"/>
  <c r="E61" i="5" l="1"/>
  <c r="E60" i="5"/>
  <c r="E59" i="5"/>
  <c r="H58" i="5"/>
  <c r="G58" i="5"/>
  <c r="F58" i="5"/>
  <c r="E58" i="5" s="1"/>
  <c r="F57" i="5"/>
  <c r="E57" i="5"/>
  <c r="E56" i="5"/>
  <c r="E55" i="5"/>
  <c r="E54" i="5"/>
  <c r="H53" i="5"/>
  <c r="G53" i="5"/>
  <c r="F53" i="5"/>
  <c r="E53" i="5" s="1"/>
  <c r="E52" i="5"/>
  <c r="H51" i="5"/>
  <c r="G51" i="5"/>
  <c r="F51" i="5"/>
  <c r="E51" i="5"/>
  <c r="E50" i="5"/>
  <c r="E49" i="5"/>
  <c r="E48" i="5"/>
  <c r="E47" i="5"/>
  <c r="E46" i="5"/>
  <c r="E45" i="5"/>
  <c r="E44" i="5"/>
  <c r="H43" i="5"/>
  <c r="G43" i="5"/>
  <c r="F43" i="5"/>
  <c r="E43" i="5"/>
  <c r="H42" i="5"/>
  <c r="G42" i="5"/>
  <c r="F42" i="5"/>
  <c r="E42" i="5"/>
  <c r="E41" i="5"/>
  <c r="E40" i="5"/>
  <c r="E39" i="5"/>
  <c r="H38" i="5"/>
  <c r="G38" i="5"/>
  <c r="F38" i="5"/>
  <c r="E38" i="5" s="1"/>
  <c r="H37" i="5"/>
  <c r="G37" i="5"/>
  <c r="F37" i="5"/>
  <c r="E37" i="5" s="1"/>
  <c r="F36" i="5"/>
  <c r="E36" i="5"/>
  <c r="E35" i="5"/>
  <c r="F8" i="5"/>
  <c r="F12" i="5"/>
  <c r="F29" i="5"/>
  <c r="J10" i="14"/>
  <c r="I10" i="14"/>
  <c r="H10" i="14"/>
  <c r="H11" i="14"/>
  <c r="I11" i="14"/>
  <c r="J11" i="14"/>
  <c r="E13" i="14"/>
  <c r="E12" i="14"/>
  <c r="G11" i="14"/>
  <c r="F11" i="14"/>
  <c r="H19" i="14"/>
  <c r="H20" i="14"/>
  <c r="H29" i="14"/>
  <c r="H15" i="14"/>
  <c r="J9" i="15"/>
  <c r="I9" i="15"/>
  <c r="H9" i="15"/>
  <c r="J14" i="15"/>
  <c r="H16" i="15"/>
  <c r="J13" i="15"/>
  <c r="I13" i="15"/>
  <c r="H13" i="15"/>
  <c r="B14" i="17"/>
  <c r="B6" i="17"/>
  <c r="E11" i="14" l="1"/>
  <c r="H12" i="7"/>
  <c r="B24" i="17" l="1"/>
  <c r="F49" i="24"/>
  <c r="L82" i="12" l="1"/>
  <c r="L55" i="12"/>
  <c r="L99" i="12"/>
  <c r="L104" i="12"/>
  <c r="L95" i="12"/>
  <c r="K17" i="12"/>
  <c r="K24" i="12"/>
  <c r="L77" i="12"/>
  <c r="L33" i="12"/>
  <c r="K18" i="12"/>
  <c r="G63" i="24"/>
  <c r="D63" i="24" s="1"/>
  <c r="G61" i="24"/>
  <c r="D61" i="24" s="1"/>
  <c r="G59" i="24"/>
  <c r="G55" i="24"/>
  <c r="G51" i="24"/>
  <c r="G50" i="24"/>
  <c r="G49" i="24"/>
  <c r="G48" i="24"/>
  <c r="G47" i="24"/>
  <c r="G46" i="24"/>
  <c r="G45" i="24"/>
  <c r="D45" i="24" s="1"/>
  <c r="G44" i="24"/>
  <c r="G43" i="24"/>
  <c r="G33" i="24"/>
  <c r="G18" i="24"/>
  <c r="G12" i="24"/>
  <c r="E61" i="24"/>
  <c r="E60" i="24" s="1"/>
  <c r="E59" i="24"/>
  <c r="E57" i="24" s="1"/>
  <c r="E51" i="24"/>
  <c r="E50" i="24"/>
  <c r="E49" i="24"/>
  <c r="E48" i="24"/>
  <c r="E47" i="24"/>
  <c r="E46" i="24"/>
  <c r="E45" i="24"/>
  <c r="E44" i="24"/>
  <c r="E43" i="24"/>
  <c r="D43" i="24" s="1"/>
  <c r="F55" i="24"/>
  <c r="D55" i="24" s="1"/>
  <c r="F48" i="24"/>
  <c r="F47" i="24"/>
  <c r="F34" i="24"/>
  <c r="F33" i="24"/>
  <c r="F22" i="24"/>
  <c r="D22" i="24" s="1"/>
  <c r="E34" i="24"/>
  <c r="E33" i="24"/>
  <c r="E31" i="24"/>
  <c r="E19" i="24"/>
  <c r="D19" i="24" s="1"/>
  <c r="G62" i="24"/>
  <c r="F62" i="24"/>
  <c r="E62" i="24"/>
  <c r="D62" i="24" s="1"/>
  <c r="G60" i="24"/>
  <c r="F60" i="24"/>
  <c r="G57" i="24"/>
  <c r="F57" i="24"/>
  <c r="F56" i="24"/>
  <c r="F53" i="24"/>
  <c r="F52" i="24" s="1"/>
  <c r="E53" i="24"/>
  <c r="G52" i="24"/>
  <c r="E52" i="24"/>
  <c r="D50" i="24"/>
  <c r="D48" i="24"/>
  <c r="D46" i="24"/>
  <c r="D44" i="24"/>
  <c r="D41" i="24"/>
  <c r="D40" i="24"/>
  <c r="G38" i="24"/>
  <c r="F38" i="24"/>
  <c r="E38" i="24"/>
  <c r="D38" i="24"/>
  <c r="D34" i="24"/>
  <c r="D33" i="24"/>
  <c r="D31" i="24"/>
  <c r="G29" i="24"/>
  <c r="G27" i="24" s="1"/>
  <c r="F29" i="24"/>
  <c r="F27" i="24" s="1"/>
  <c r="E29" i="24"/>
  <c r="D24" i="24"/>
  <c r="D23" i="24"/>
  <c r="D21" i="24"/>
  <c r="D18" i="24"/>
  <c r="D15" i="24"/>
  <c r="G14" i="24"/>
  <c r="D14" i="24" s="1"/>
  <c r="D12" i="24"/>
  <c r="E11" i="24"/>
  <c r="D60" i="22"/>
  <c r="D61" i="22"/>
  <c r="D62" i="22"/>
  <c r="D63" i="22"/>
  <c r="D59" i="22"/>
  <c r="D57" i="22"/>
  <c r="D56" i="22"/>
  <c r="D43" i="22"/>
  <c r="D44" i="22"/>
  <c r="D45" i="22"/>
  <c r="D46" i="22"/>
  <c r="D47" i="22"/>
  <c r="D50" i="22"/>
  <c r="D41" i="22"/>
  <c r="D40" i="22"/>
  <c r="D38" i="22"/>
  <c r="D34" i="22"/>
  <c r="D33" i="22"/>
  <c r="D31" i="22"/>
  <c r="D29" i="22"/>
  <c r="D27" i="22"/>
  <c r="D24" i="22"/>
  <c r="D23" i="22"/>
  <c r="D21" i="22"/>
  <c r="D19" i="22"/>
  <c r="D18" i="22"/>
  <c r="D15" i="22"/>
  <c r="D12" i="22"/>
  <c r="D14" i="22"/>
  <c r="G26" i="22"/>
  <c r="G35" i="22"/>
  <c r="G36" i="22"/>
  <c r="G52" i="22"/>
  <c r="G56" i="22"/>
  <c r="G62" i="22"/>
  <c r="G60" i="22"/>
  <c r="G57" i="22"/>
  <c r="G63" i="22"/>
  <c r="G61" i="22"/>
  <c r="G59" i="22"/>
  <c r="G55" i="22"/>
  <c r="G42" i="22"/>
  <c r="G51" i="22"/>
  <c r="G50" i="22"/>
  <c r="G49" i="22"/>
  <c r="G48" i="22"/>
  <c r="G47" i="22"/>
  <c r="G46" i="22"/>
  <c r="G45" i="22"/>
  <c r="G43" i="22"/>
  <c r="G44" i="22"/>
  <c r="G38" i="22"/>
  <c r="G27" i="22"/>
  <c r="G29" i="22"/>
  <c r="G33" i="22"/>
  <c r="G14" i="22"/>
  <c r="G18" i="22"/>
  <c r="G12" i="22"/>
  <c r="G11" i="22" s="1"/>
  <c r="F62" i="22"/>
  <c r="F60" i="22"/>
  <c r="F57" i="22"/>
  <c r="F55" i="22"/>
  <c r="F53" i="22" s="1"/>
  <c r="F52" i="22" s="1"/>
  <c r="D52" i="22" s="1"/>
  <c r="F49" i="22"/>
  <c r="D49" i="22" s="1"/>
  <c r="F48" i="22"/>
  <c r="D48" i="22" s="1"/>
  <c r="F47" i="22"/>
  <c r="F38" i="22"/>
  <c r="E38" i="22"/>
  <c r="F34" i="22"/>
  <c r="F33" i="22"/>
  <c r="F29" i="22" s="1"/>
  <c r="F27" i="22" s="1"/>
  <c r="F22" i="22"/>
  <c r="F11" i="22" s="1"/>
  <c r="D11" i="22" s="1"/>
  <c r="E62" i="22"/>
  <c r="E60" i="22"/>
  <c r="E61" i="22"/>
  <c r="E57" i="22"/>
  <c r="E56" i="22" s="1"/>
  <c r="E59" i="22"/>
  <c r="E53" i="22"/>
  <c r="E52" i="22" s="1"/>
  <c r="E51" i="22"/>
  <c r="E50" i="22"/>
  <c r="E49" i="22"/>
  <c r="E48" i="22"/>
  <c r="E47" i="22"/>
  <c r="E46" i="22"/>
  <c r="E45" i="22"/>
  <c r="E44" i="22"/>
  <c r="E43" i="22"/>
  <c r="E42" i="22" s="1"/>
  <c r="E36" i="22" s="1"/>
  <c r="E35" i="22" s="1"/>
  <c r="E26" i="22" s="1"/>
  <c r="E34" i="22"/>
  <c r="E33" i="22"/>
  <c r="E31" i="22"/>
  <c r="E29" i="22" s="1"/>
  <c r="E27" i="22" s="1"/>
  <c r="E19" i="22"/>
  <c r="E11" i="22" s="1"/>
  <c r="D53" i="22" l="1"/>
  <c r="D22" i="22"/>
  <c r="D55" i="22"/>
  <c r="G42" i="24"/>
  <c r="G36" i="24" s="1"/>
  <c r="G35" i="24" s="1"/>
  <c r="G11" i="24"/>
  <c r="D59" i="24"/>
  <c r="D53" i="24"/>
  <c r="D52" i="24"/>
  <c r="D49" i="24"/>
  <c r="D47" i="24"/>
  <c r="D29" i="24"/>
  <c r="D57" i="24"/>
  <c r="E56" i="24"/>
  <c r="E27" i="24"/>
  <c r="D27" i="24" s="1"/>
  <c r="D60" i="24"/>
  <c r="G56" i="24"/>
  <c r="F11" i="24"/>
  <c r="D11" i="24" s="1"/>
  <c r="E42" i="24"/>
  <c r="F56" i="22"/>
  <c r="H18" i="10"/>
  <c r="H19" i="10"/>
  <c r="H27" i="10"/>
  <c r="H25" i="10"/>
  <c r="H22" i="10"/>
  <c r="H32" i="10"/>
  <c r="J28" i="10"/>
  <c r="I28" i="10"/>
  <c r="H28" i="10"/>
  <c r="G29" i="10"/>
  <c r="G26" i="24" l="1"/>
  <c r="E36" i="24"/>
  <c r="D56" i="24"/>
  <c r="G28" i="10"/>
  <c r="H16" i="10"/>
  <c r="H14" i="10"/>
  <c r="H10" i="10"/>
  <c r="H5" i="10"/>
  <c r="E35" i="24" l="1"/>
  <c r="E26" i="24" l="1"/>
  <c r="F98" i="12"/>
  <c r="F99" i="12"/>
  <c r="F100" i="12"/>
  <c r="F101" i="12"/>
  <c r="F102" i="12"/>
  <c r="F103" i="12"/>
  <c r="F104" i="12"/>
  <c r="F105" i="12"/>
  <c r="F106" i="12"/>
  <c r="F107" i="12"/>
  <c r="E98" i="12"/>
  <c r="E99" i="12"/>
  <c r="E100" i="12"/>
  <c r="E101" i="12"/>
  <c r="E102" i="12"/>
  <c r="E103" i="12"/>
  <c r="E104" i="12"/>
  <c r="E105" i="12"/>
  <c r="E106" i="12"/>
  <c r="E107" i="12"/>
  <c r="E108" i="12"/>
  <c r="F95" i="12"/>
  <c r="E95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F25" i="12"/>
  <c r="F26" i="12"/>
  <c r="E25" i="12"/>
  <c r="E26" i="12"/>
  <c r="F24" i="12"/>
  <c r="E24" i="12"/>
  <c r="E23" i="12" s="1"/>
  <c r="F22" i="12"/>
  <c r="E22" i="12"/>
  <c r="D16" i="12"/>
  <c r="F59" i="12"/>
  <c r="E59" i="12"/>
  <c r="F29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1" i="12"/>
  <c r="F53" i="12"/>
  <c r="F54" i="12"/>
  <c r="F55" i="12"/>
  <c r="F28" i="12"/>
  <c r="E29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1" i="12"/>
  <c r="E52" i="12"/>
  <c r="E53" i="12"/>
  <c r="E54" i="12"/>
  <c r="E55" i="12"/>
  <c r="E28" i="12"/>
  <c r="D28" i="12"/>
  <c r="L56" i="12" l="1"/>
  <c r="N108" i="12"/>
  <c r="F108" i="12" s="1"/>
  <c r="D108" i="12"/>
  <c r="D107" i="12"/>
  <c r="D106" i="12"/>
  <c r="D105" i="12"/>
  <c r="D104" i="12"/>
  <c r="D103" i="12"/>
  <c r="D102" i="12"/>
  <c r="D101" i="12"/>
  <c r="D100" i="12"/>
  <c r="D99" i="12"/>
  <c r="D98" i="12"/>
  <c r="F97" i="12"/>
  <c r="E97" i="12"/>
  <c r="D97" i="12"/>
  <c r="N96" i="12"/>
  <c r="M96" i="12"/>
  <c r="L96" i="12"/>
  <c r="K96" i="12"/>
  <c r="J96" i="12"/>
  <c r="I96" i="12"/>
  <c r="H96" i="12"/>
  <c r="G96" i="12"/>
  <c r="F96" i="12"/>
  <c r="E96" i="12"/>
  <c r="D96" i="12"/>
  <c r="D95" i="12"/>
  <c r="N94" i="12"/>
  <c r="M94" i="12"/>
  <c r="L94" i="12"/>
  <c r="K94" i="12"/>
  <c r="J94" i="12"/>
  <c r="I94" i="12"/>
  <c r="H94" i="12"/>
  <c r="G94" i="12"/>
  <c r="F94" i="12"/>
  <c r="E94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N62" i="12"/>
  <c r="N61" i="12" s="1"/>
  <c r="M62" i="12"/>
  <c r="F62" i="12"/>
  <c r="E62" i="12"/>
  <c r="D62" i="12"/>
  <c r="M61" i="12"/>
  <c r="E61" i="12" s="1"/>
  <c r="L61" i="12"/>
  <c r="D61" i="12" s="1"/>
  <c r="K61" i="12"/>
  <c r="J61" i="12"/>
  <c r="I61" i="12"/>
  <c r="H61" i="12"/>
  <c r="G61" i="12"/>
  <c r="F60" i="12"/>
  <c r="E60" i="12"/>
  <c r="D60" i="12"/>
  <c r="F58" i="12"/>
  <c r="E58" i="12"/>
  <c r="D58" i="12"/>
  <c r="F57" i="12"/>
  <c r="E57" i="12"/>
  <c r="D57" i="12"/>
  <c r="N56" i="12"/>
  <c r="F56" i="12" s="1"/>
  <c r="M56" i="12"/>
  <c r="K56" i="12"/>
  <c r="J56" i="12"/>
  <c r="I56" i="12"/>
  <c r="H56" i="12"/>
  <c r="G56" i="12"/>
  <c r="E56" i="12"/>
  <c r="D56" i="12"/>
  <c r="D55" i="12"/>
  <c r="D59" i="12"/>
  <c r="D54" i="12"/>
  <c r="D53" i="12"/>
  <c r="N52" i="12"/>
  <c r="F52" i="12" s="1"/>
  <c r="L52" i="12"/>
  <c r="D52" i="12" s="1"/>
  <c r="D51" i="12"/>
  <c r="N50" i="12"/>
  <c r="F50" i="12" s="1"/>
  <c r="M50" i="12"/>
  <c r="E50" i="12" s="1"/>
  <c r="L50" i="12"/>
  <c r="D50" i="12" s="1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N30" i="12"/>
  <c r="F30" i="12" s="1"/>
  <c r="M30" i="12"/>
  <c r="E30" i="12" s="1"/>
  <c r="L30" i="12"/>
  <c r="D29" i="12"/>
  <c r="N27" i="12"/>
  <c r="M27" i="12"/>
  <c r="K27" i="12"/>
  <c r="J27" i="12"/>
  <c r="I27" i="12"/>
  <c r="H27" i="12"/>
  <c r="G27" i="12"/>
  <c r="F27" i="12"/>
  <c r="E27" i="12"/>
  <c r="D26" i="12"/>
  <c r="D25" i="12"/>
  <c r="D24" i="12"/>
  <c r="N23" i="12"/>
  <c r="M23" i="12"/>
  <c r="K23" i="12"/>
  <c r="D23" i="12" s="1"/>
  <c r="J23" i="12"/>
  <c r="I23" i="12"/>
  <c r="J21" i="12" s="1"/>
  <c r="H23" i="12"/>
  <c r="F23" i="12"/>
  <c r="D22" i="12"/>
  <c r="N21" i="12"/>
  <c r="M21" i="12"/>
  <c r="K21" i="12"/>
  <c r="I21" i="12"/>
  <c r="H21" i="12"/>
  <c r="F21" i="12"/>
  <c r="E21" i="12"/>
  <c r="D21" i="12"/>
  <c r="M19" i="12"/>
  <c r="E19" i="12" s="1"/>
  <c r="J19" i="12"/>
  <c r="I19" i="12"/>
  <c r="H19" i="12"/>
  <c r="G19" i="12"/>
  <c r="F18" i="12"/>
  <c r="E18" i="12"/>
  <c r="D18" i="12"/>
  <c r="F17" i="12"/>
  <c r="E17" i="12"/>
  <c r="D17" i="12"/>
  <c r="F16" i="12"/>
  <c r="E16" i="12"/>
  <c r="N15" i="12"/>
  <c r="M15" i="12"/>
  <c r="L15" i="12"/>
  <c r="K13" i="12" s="1"/>
  <c r="D13" i="12" s="1"/>
  <c r="K15" i="12"/>
  <c r="J15" i="12"/>
  <c r="I15" i="12"/>
  <c r="H15" i="12"/>
  <c r="G15" i="12"/>
  <c r="F15" i="12"/>
  <c r="E15" i="12"/>
  <c r="N13" i="12"/>
  <c r="F13" i="12" s="1"/>
  <c r="M13" i="12"/>
  <c r="J13" i="12"/>
  <c r="J12" i="12" s="1"/>
  <c r="I13" i="12"/>
  <c r="G13" i="12"/>
  <c r="E13" i="12"/>
  <c r="I12" i="12"/>
  <c r="G12" i="12"/>
  <c r="L27" i="12" l="1"/>
  <c r="D27" i="12" s="1"/>
  <c r="D30" i="12"/>
  <c r="M12" i="12"/>
  <c r="E12" i="12" s="1"/>
  <c r="D15" i="12"/>
  <c r="K19" i="12"/>
  <c r="L19" i="12"/>
  <c r="F61" i="12"/>
  <c r="N19" i="12"/>
  <c r="D19" i="12" l="1"/>
  <c r="K12" i="12"/>
  <c r="D12" i="12" s="1"/>
  <c r="F19" i="12"/>
  <c r="N12" i="12"/>
  <c r="F12" i="12" s="1"/>
  <c r="J24" i="16" l="1"/>
  <c r="I24" i="16"/>
  <c r="H24" i="16"/>
  <c r="G26" i="16"/>
  <c r="G25" i="16"/>
  <c r="G24" i="16" l="1"/>
  <c r="G27" i="16"/>
  <c r="J23" i="16"/>
  <c r="H23" i="16"/>
  <c r="I23" i="16"/>
  <c r="G22" i="16"/>
  <c r="G21" i="16"/>
  <c r="G23" i="16" l="1"/>
  <c r="G26" i="13" l="1"/>
  <c r="G29" i="14" l="1"/>
  <c r="G18" i="14"/>
  <c r="G19" i="14"/>
  <c r="G20" i="14"/>
  <c r="G22" i="14"/>
  <c r="G24" i="14"/>
  <c r="G25" i="14"/>
  <c r="G26" i="14"/>
  <c r="G27" i="14"/>
  <c r="G15" i="14"/>
  <c r="G9" i="14"/>
  <c r="J28" i="14"/>
  <c r="J23" i="14"/>
  <c r="F51" i="24" s="1"/>
  <c r="J17" i="14"/>
  <c r="J14" i="14"/>
  <c r="I28" i="14"/>
  <c r="I23" i="14"/>
  <c r="F51" i="22" s="1"/>
  <c r="I21" i="14"/>
  <c r="I17" i="14"/>
  <c r="I14" i="14"/>
  <c r="H14" i="14"/>
  <c r="H21" i="14"/>
  <c r="H23" i="14"/>
  <c r="H17" i="14"/>
  <c r="G17" i="14" s="1"/>
  <c r="I10" i="16"/>
  <c r="J10" i="16"/>
  <c r="H10" i="16"/>
  <c r="G11" i="16"/>
  <c r="I11" i="16"/>
  <c r="J11" i="16"/>
  <c r="H11" i="16"/>
  <c r="D51" i="24" l="1"/>
  <c r="F42" i="24"/>
  <c r="G23" i="14"/>
  <c r="I16" i="14"/>
  <c r="D51" i="22"/>
  <c r="F42" i="22"/>
  <c r="J21" i="14"/>
  <c r="G21" i="14" s="1"/>
  <c r="H16" i="14"/>
  <c r="G14" i="14"/>
  <c r="D42" i="22" l="1"/>
  <c r="F36" i="22"/>
  <c r="F36" i="24"/>
  <c r="D42" i="24"/>
  <c r="J16" i="14"/>
  <c r="G13" i="16"/>
  <c r="G12" i="16"/>
  <c r="G9" i="16"/>
  <c r="G8" i="16"/>
  <c r="G29" i="15"/>
  <c r="D36" i="22" l="1"/>
  <c r="F35" i="22"/>
  <c r="G16" i="14"/>
  <c r="F35" i="24"/>
  <c r="D36" i="24"/>
  <c r="G10" i="16"/>
  <c r="D35" i="22" l="1"/>
  <c r="F26" i="22"/>
  <c r="D26" i="22" s="1"/>
  <c r="F26" i="24"/>
  <c r="D26" i="24" s="1"/>
  <c r="D35" i="24"/>
  <c r="H28" i="15"/>
  <c r="G30" i="15"/>
  <c r="G31" i="15"/>
  <c r="G13" i="15"/>
  <c r="G14" i="15"/>
  <c r="G12" i="15"/>
  <c r="G33" i="15"/>
  <c r="G16" i="15"/>
  <c r="G6" i="10"/>
  <c r="G9" i="10"/>
  <c r="G10" i="10"/>
  <c r="G11" i="10"/>
  <c r="G14" i="10"/>
  <c r="G15" i="10"/>
  <c r="G16" i="10"/>
  <c r="G17" i="10"/>
  <c r="G18" i="10"/>
  <c r="G19" i="10"/>
  <c r="G20" i="10"/>
  <c r="G22" i="10"/>
  <c r="G24" i="10"/>
  <c r="G25" i="10"/>
  <c r="G26" i="10"/>
  <c r="G27" i="10"/>
  <c r="G31" i="10"/>
  <c r="G32" i="10"/>
  <c r="G33" i="10"/>
  <c r="G34" i="10"/>
  <c r="G5" i="10"/>
  <c r="J30" i="10"/>
  <c r="J23" i="10"/>
  <c r="J21" i="10"/>
  <c r="J13" i="10"/>
  <c r="J12" i="10"/>
  <c r="J8" i="10"/>
  <c r="J7" i="10"/>
  <c r="I30" i="10"/>
  <c r="I23" i="10"/>
  <c r="I21" i="10" s="1"/>
  <c r="I13" i="10"/>
  <c r="I8" i="10"/>
  <c r="H8" i="10"/>
  <c r="H13" i="10"/>
  <c r="G13" i="10" s="1"/>
  <c r="H23" i="10"/>
  <c r="G23" i="10" s="1"/>
  <c r="H30" i="10"/>
  <c r="E8" i="5"/>
  <c r="E11" i="5"/>
  <c r="E12" i="5"/>
  <c r="E13" i="5"/>
  <c r="E16" i="5"/>
  <c r="E17" i="5"/>
  <c r="E18" i="5"/>
  <c r="E19" i="5"/>
  <c r="E20" i="5"/>
  <c r="E21" i="5"/>
  <c r="E22" i="5"/>
  <c r="E24" i="5"/>
  <c r="E26" i="5"/>
  <c r="E27" i="5"/>
  <c r="E28" i="5"/>
  <c r="E29" i="5"/>
  <c r="E30" i="5"/>
  <c r="E31" i="5"/>
  <c r="E32" i="5"/>
  <c r="E33" i="5"/>
  <c r="E7" i="5"/>
  <c r="G9" i="9"/>
  <c r="G10" i="9"/>
  <c r="G11" i="9"/>
  <c r="G12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7" i="9"/>
  <c r="G6" i="9"/>
  <c r="J29" i="9"/>
  <c r="J24" i="9"/>
  <c r="J22" i="9"/>
  <c r="J14" i="9"/>
  <c r="J13" i="9"/>
  <c r="J9" i="9"/>
  <c r="J8" i="9"/>
  <c r="I29" i="9"/>
  <c r="I24" i="9"/>
  <c r="I22" i="9"/>
  <c r="I14" i="9"/>
  <c r="I13" i="9"/>
  <c r="I9" i="9"/>
  <c r="I8" i="9"/>
  <c r="H9" i="9"/>
  <c r="H29" i="9"/>
  <c r="H24" i="9"/>
  <c r="H22" i="9" s="1"/>
  <c r="H14" i="9"/>
  <c r="G14" i="9" s="1"/>
  <c r="G10" i="5"/>
  <c r="H10" i="5"/>
  <c r="G15" i="5"/>
  <c r="G14" i="5" s="1"/>
  <c r="G9" i="5" s="1"/>
  <c r="H15" i="5"/>
  <c r="G25" i="5"/>
  <c r="H25" i="5"/>
  <c r="H23" i="5" s="1"/>
  <c r="G23" i="5"/>
  <c r="G30" i="5"/>
  <c r="H30" i="5"/>
  <c r="F30" i="5"/>
  <c r="F15" i="5"/>
  <c r="F25" i="5"/>
  <c r="F10" i="5"/>
  <c r="E10" i="5" s="1"/>
  <c r="F23" i="5" l="1"/>
  <c r="E23" i="5" s="1"/>
  <c r="E25" i="5"/>
  <c r="G30" i="10"/>
  <c r="H21" i="10"/>
  <c r="G21" i="10" s="1"/>
  <c r="G8" i="10"/>
  <c r="I12" i="10"/>
  <c r="I7" i="10" s="1"/>
  <c r="H12" i="10"/>
  <c r="E15" i="5"/>
  <c r="E14" i="5"/>
  <c r="H13" i="9"/>
  <c r="H14" i="5"/>
  <c r="H9" i="5" s="1"/>
  <c r="F14" i="5"/>
  <c r="F9" i="5" s="1"/>
  <c r="E9" i="5" s="1"/>
  <c r="G12" i="10" l="1"/>
  <c r="H7" i="10"/>
  <c r="G7" i="10" s="1"/>
  <c r="H8" i="9"/>
  <c r="G8" i="9" s="1"/>
  <c r="G13" i="9"/>
  <c r="G34" i="15"/>
  <c r="J32" i="15"/>
  <c r="I32" i="15"/>
  <c r="H32" i="15"/>
  <c r="H27" i="15" s="1"/>
  <c r="J28" i="15"/>
  <c r="I28" i="15"/>
  <c r="G26" i="15"/>
  <c r="G25" i="15"/>
  <c r="J11" i="15"/>
  <c r="J15" i="15"/>
  <c r="I15" i="15"/>
  <c r="H15" i="15"/>
  <c r="I11" i="15"/>
  <c r="H11" i="15"/>
  <c r="G9" i="15"/>
  <c r="G17" i="15"/>
  <c r="G8" i="15"/>
  <c r="H10" i="15" l="1"/>
  <c r="G15" i="15"/>
  <c r="I10" i="15"/>
  <c r="I27" i="15"/>
  <c r="J10" i="15"/>
  <c r="G10" i="15" s="1"/>
  <c r="G11" i="15"/>
  <c r="G28" i="15"/>
  <c r="J27" i="15"/>
  <c r="G32" i="15"/>
  <c r="G27" i="15" l="1"/>
  <c r="G30" i="14"/>
  <c r="H28" i="14"/>
  <c r="G8" i="14"/>
  <c r="G28" i="14" l="1"/>
  <c r="G10" i="14"/>
  <c r="G22" i="13" l="1"/>
  <c r="G23" i="13"/>
  <c r="G27" i="13"/>
  <c r="G28" i="13"/>
  <c r="I25" i="13"/>
  <c r="J25" i="13"/>
  <c r="I29" i="13"/>
  <c r="J29" i="13"/>
  <c r="H25" i="13"/>
  <c r="H24" i="13" s="1"/>
  <c r="H29" i="13"/>
  <c r="G31" i="13"/>
  <c r="G30" i="13"/>
  <c r="G14" i="13"/>
  <c r="G13" i="13"/>
  <c r="G12" i="13"/>
  <c r="J11" i="13"/>
  <c r="J10" i="13" s="1"/>
  <c r="I11" i="13"/>
  <c r="I10" i="13" s="1"/>
  <c r="H11" i="13"/>
  <c r="H10" i="13" s="1"/>
  <c r="G9" i="13"/>
  <c r="G8" i="13"/>
  <c r="G27" i="7"/>
  <c r="G28" i="7"/>
  <c r="G26" i="7"/>
  <c r="G25" i="7"/>
  <c r="G23" i="7"/>
  <c r="G24" i="7"/>
  <c r="G22" i="7"/>
  <c r="J25" i="7"/>
  <c r="J24" i="7" s="1"/>
  <c r="I25" i="7"/>
  <c r="I24" i="7" s="1"/>
  <c r="G13" i="7"/>
  <c r="G14" i="7"/>
  <c r="G12" i="7"/>
  <c r="G9" i="7"/>
  <c r="G8" i="7"/>
  <c r="J10" i="7"/>
  <c r="I10" i="7"/>
  <c r="H24" i="7"/>
  <c r="H25" i="7"/>
  <c r="G29" i="13" l="1"/>
  <c r="I24" i="13"/>
  <c r="G25" i="13"/>
  <c r="J24" i="13"/>
  <c r="G10" i="13"/>
  <c r="G11" i="13"/>
  <c r="G24" i="13" l="1"/>
  <c r="I11" i="7"/>
  <c r="J11" i="7"/>
  <c r="H11" i="7"/>
  <c r="G11" i="7" l="1"/>
  <c r="H10" i="7"/>
  <c r="G10" i="7" s="1"/>
</calcChain>
</file>

<file path=xl/sharedStrings.xml><?xml version="1.0" encoding="utf-8"?>
<sst xmlns="http://schemas.openxmlformats.org/spreadsheetml/2006/main" count="1092" uniqueCount="360">
  <si>
    <t>УТВЕРЖДАЮ</t>
  </si>
  <si>
    <t>"___" _____________ 20___г.</t>
  </si>
  <si>
    <t>финансово-хозяйственной деятельности</t>
  </si>
  <si>
    <t>(дата составления)</t>
  </si>
  <si>
    <t>Наименование структурного подразделения администрации
города, осуществляющего функции и полномочия учредителя</t>
  </si>
  <si>
    <t>Департамент образования администрации города</t>
  </si>
  <si>
    <t>Единица измерения: руб.</t>
  </si>
  <si>
    <t xml:space="preserve">код по ОКЕИ </t>
  </si>
  <si>
    <t>Раздел 1. Реквизиты учреждения</t>
  </si>
  <si>
    <t>Юридический адрес</t>
  </si>
  <si>
    <t>Адрес фактического местонахождения</t>
  </si>
  <si>
    <t>Адрес электронной почты</t>
  </si>
  <si>
    <t>Телефон учреждения</t>
  </si>
  <si>
    <t>Факс учреждения</t>
  </si>
  <si>
    <t>Фамилия, имя, отчество руководителя учреждения, телефон</t>
  </si>
  <si>
    <t xml:space="preserve">Перечень разрешительных документов, лицензий, государственной аккредитации (с указанием номеров, даты выдачи и срока действия), на основании которых учреждение осуществляет деятельность </t>
  </si>
  <si>
    <t>Основной государственный регистрационный номер учреждения (ОГРН), дата государственной регистрации</t>
  </si>
  <si>
    <t>Индентификационный номер налогоплательщика (ИНН)</t>
  </si>
  <si>
    <t>Фамилия, имя, отчество главного бухгалтера, телефон</t>
  </si>
  <si>
    <t>Код причины постановки на учет учреждения в налоговом органе (КПП)</t>
  </si>
  <si>
    <t>№ п/п</t>
  </si>
  <si>
    <t>Отчетные сведения, единица измерения</t>
  </si>
  <si>
    <t>На дату составления плана</t>
  </si>
  <si>
    <t>Общая балансовая стоимость недвижимого муниципального имущества, руб.</t>
  </si>
  <si>
    <t>1.1</t>
  </si>
  <si>
    <t>1.2</t>
  </si>
  <si>
    <t>Стоимость имущества, приобретенного учреждением за счет выделенных собственником имущества учреждению средств, руб.</t>
  </si>
  <si>
    <t>1.3</t>
  </si>
  <si>
    <t>Стоимость имущества, приобретенного учреждением за счет доходов, полученных от приносящей доход деятельности, руб.</t>
  </si>
  <si>
    <t>2</t>
  </si>
  <si>
    <t>Количество объектов недвижимого имущества, закрепленных за муниципальным учреждением (зданий, строений, помещений), ед.</t>
  </si>
  <si>
    <t>3</t>
  </si>
  <si>
    <r>
      <t>1.</t>
    </r>
    <r>
      <rPr>
        <sz val="12"/>
        <color indexed="8"/>
        <rFont val="Times New Roman"/>
        <family val="1"/>
        <charset val="204"/>
      </rPr>
      <t xml:space="preserve"> Цели (задачи) деятельности учреждения в соответствии с уставом учреждения:</t>
    </r>
  </si>
  <si>
    <r>
      <t>4.</t>
    </r>
    <r>
      <rPr>
        <sz val="12"/>
        <color indexed="8"/>
        <rFont val="Times New Roman"/>
        <family val="1"/>
        <charset val="204"/>
      </rPr>
      <t xml:space="preserve"> Сведения о недвижимом муниципальном имуществе:</t>
    </r>
  </si>
  <si>
    <r>
      <t>5.</t>
    </r>
    <r>
      <rPr>
        <sz val="12"/>
        <color indexed="8"/>
        <rFont val="Times New Roman"/>
        <family val="1"/>
        <charset val="204"/>
      </rPr>
      <t xml:space="preserve"> Сведения о движимом имуществе</t>
    </r>
  </si>
  <si>
    <t>Общая балансовая стоимость движимого муниципального имущества, руб.</t>
  </si>
  <si>
    <t xml:space="preserve">1.1 </t>
  </si>
  <si>
    <t>В том числе балансовая стоимость особо ценного движимого имущества, руб.</t>
  </si>
  <si>
    <t>Наименование показателя</t>
  </si>
  <si>
    <t>в том числе:</t>
  </si>
  <si>
    <t>КОСГУ</t>
  </si>
  <si>
    <t>Х</t>
  </si>
  <si>
    <r>
      <t>Выплаты - всего</t>
    </r>
    <r>
      <rPr>
        <sz val="11"/>
        <color indexed="8"/>
        <rFont val="Times New Roman"/>
        <family val="1"/>
        <charset val="204"/>
      </rPr>
      <t>, в том числе:</t>
    </r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</si>
  <si>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</si>
  <si>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</si>
  <si>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</si>
  <si>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</si>
  <si>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</si>
  <si>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</si>
  <si>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</si>
  <si>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</si>
  <si>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</si>
  <si>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</si>
  <si>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</si>
  <si>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</si>
  <si>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 - всего, 
в том числе:</t>
  </si>
  <si>
    <t>Продукты питания</t>
  </si>
  <si>
    <t>Мягкий инвентарь</t>
  </si>
  <si>
    <t>Прочие расходные материалы, предметы снабжения</t>
  </si>
  <si>
    <t>Медикаменты, перевязочные средства и прочие лечебные расходы</t>
  </si>
  <si>
    <t xml:space="preserve">Форма 3. Показатели по поступлениям и выплатам учреждения за счет субсидии на выполнение муниципального задания </t>
  </si>
  <si>
    <r>
      <t xml:space="preserve">Всего, 
</t>
    </r>
    <r>
      <rPr>
        <sz val="11"/>
        <color indexed="8"/>
        <rFont val="Times New Roman"/>
        <family val="1"/>
        <charset val="204"/>
      </rPr>
      <t>руб.</t>
    </r>
  </si>
  <si>
    <t>Остаток средств на начало планируемого года</t>
  </si>
  <si>
    <t>Остаток средств на конец планируемого года</t>
  </si>
  <si>
    <t>Поступления</t>
  </si>
  <si>
    <r>
      <t xml:space="preserve">Оплата работ, услуг - всего, 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</si>
  <si>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в том числе, </t>
    </r>
    <r>
      <rPr>
        <b/>
        <u/>
        <sz val="11"/>
        <color indexed="8"/>
        <rFont val="Times New Roman"/>
        <family val="1"/>
        <charset val="204"/>
      </rPr>
      <t>местный бюджет</t>
    </r>
  </si>
  <si>
    <t>Форма 4. Показатели по поступлениям и выплатам учреждения за счет целевых субсидий</t>
  </si>
  <si>
    <t>4.1. На компенсацию расходов на оплату стоимости проезда и провоза багажа к месту использования отпуска и обратно работникам учреждения и неработающих членов его семьи 
(код субсидии 006.20.0002)</t>
  </si>
  <si>
    <t>4.2. На выплаты социального характера работникам учреждений, установленные муниципальными правовыми актами
(код субсидии 006.20.0003)</t>
  </si>
  <si>
    <t>Увеличение стоимости материальных запасов - всего, в том числе:</t>
  </si>
  <si>
    <t>Раздел 2. Сведения о целях (задачах), видах деятельности бюджетного (автономного) учреждения, основных показателях финансовой деятельности</t>
  </si>
  <si>
    <r>
      <t>2.</t>
    </r>
    <r>
      <rPr>
        <sz val="12"/>
        <color indexed="8"/>
        <rFont val="Times New Roman"/>
        <family val="1"/>
        <charset val="204"/>
      </rPr>
      <t xml:space="preserve"> Виды деятельности учреждения, относящиеся к его основным видам деятельности в соответствии с уставом учреждения:</t>
    </r>
  </si>
  <si>
    <t>ВСЕГО по субсидии на выполнение муниципального задания:</t>
  </si>
  <si>
    <t>Руководитель учреждения</t>
  </si>
  <si>
    <t>(подпись)</t>
  </si>
  <si>
    <t xml:space="preserve">                            (расшифровка подписи)</t>
  </si>
  <si>
    <t>полное наименование муниципального бюджетного (автономного) учреждения</t>
  </si>
  <si>
    <t>Уплата прочих налогов, сборов</t>
  </si>
  <si>
    <t>Уплата иных платежей</t>
  </si>
  <si>
    <t>Код вида расходов</t>
  </si>
  <si>
    <t>Уплата налога на имущество и земельного налога</t>
  </si>
  <si>
    <r>
      <t xml:space="preserve">Прочая закупка товаров, работ и услуг для обеспечения государственных (муниципальных) нужд, 
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</si>
  <si>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Расходы на выплаты персоналу учреждений - всего, </t>
    </r>
    <r>
      <rPr>
        <sz val="11"/>
        <color indexed="8"/>
        <rFont val="Times New Roman"/>
        <family val="1"/>
        <charset val="204"/>
      </rPr>
      <t>в том числе:</t>
    </r>
  </si>
  <si>
    <t>Уплата налогов, сборов и иных платежей, в том числе:</t>
  </si>
  <si>
    <t>Таблица 2.1. Показатели выплат по расходам на закупку товаров, работ, услуг Учреждения</t>
  </si>
  <si>
    <t>Код строки</t>
  </si>
  <si>
    <t>Год начала закупки</t>
  </si>
  <si>
    <t>Сумма выплат по расходам на закупку товаров, работ и услуг, руб.</t>
  </si>
  <si>
    <t>( с точностью до двух знаков после запятой – 0,00)</t>
  </si>
  <si>
    <t>всего на закупки</t>
  </si>
  <si>
    <t xml:space="preserve">в соответствии с Федеральным законом от 05.04. 2013 №44-ФЗ </t>
  </si>
  <si>
    <t>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</si>
  <si>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 2011 №223-ФЗ "О закупках товаров, работ, услуг отдельными видами юридических лиц"</t>
  </si>
  <si>
    <t>на 20__ г.</t>
  </si>
  <si>
    <t>очередной</t>
  </si>
  <si>
    <t>финансовый год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</si>
  <si>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</si>
  <si>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</si>
  <si>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из них:</t>
  </si>
  <si>
    <t>На закупку товаров, работ, услуг по году начала закупки:</t>
  </si>
  <si>
    <t>ВСЕГО , руб</t>
  </si>
  <si>
    <t>на 2017 год</t>
  </si>
  <si>
    <t>на 2018 год</t>
  </si>
  <si>
    <t>на 2019 год</t>
  </si>
  <si>
    <t>всего, руб</t>
  </si>
  <si>
    <t>в том числе</t>
  </si>
  <si>
    <t>1) создание условий и организация дополнительного профессионального образования работников муниципальных образовательных учреждений;</t>
  </si>
  <si>
    <t>2) организация и проведение выставок, конференций, совещаний, семинаров для муниципальных образовательных учреждений;</t>
  </si>
  <si>
    <t>3) создание условий, организация и проведение мероприятий для обучающихся муниципальных образовательных учреждений;</t>
  </si>
  <si>
    <t>4) оказание информационно-методической, консультационной помощи  работникам муниципальных образовательных учреждений;</t>
  </si>
  <si>
    <t>5) организация проведения мониторингов и независимой оценки качества сферы образования;</t>
  </si>
  <si>
    <t xml:space="preserve">6) создание условий и организация комплектования муниципальными образовательными учреждениями фондов учебников, учебно-методической   литературы;
</t>
  </si>
  <si>
    <t>7) организационно-техническое сопровождение порталов, информационных систем, баз данных, реестров в сфере образования;</t>
  </si>
  <si>
    <t>8) создание и деятельность музея истории образования;</t>
  </si>
  <si>
    <t>9) организация деятельности территориальной психолого-медико-педагогической комиссии.</t>
  </si>
  <si>
    <r>
      <t>3.</t>
    </r>
    <r>
      <rPr>
        <sz val="12"/>
        <color indexed="8"/>
        <rFont val="Times New Roman"/>
        <family val="1"/>
        <charset val="204"/>
      </rPr>
      <t xml:space="preserve"> Дополнительные виды деятельности учреждения, приносящие доход,  в соответствии с уставом учреждения:</t>
    </r>
  </si>
  <si>
    <t>1) услуги по разработке компьютерного программного обеспечения, официальных сайтов, интернет-ресурсов, размещению информации для граждан и юридических лиц;</t>
  </si>
  <si>
    <t>2) услуги по редакционно-издательской деятельности, выпуску и реализации печатной продукции научного и учебного назначения, по разработке дизайна для граждан и юридических лиц;</t>
  </si>
  <si>
    <t>3) услуги по фотокопированию и подготовке документов и прочая специализированная вспомогательная деятельность по обеспечению деятельности офиса для граждан и юридических лиц;</t>
  </si>
  <si>
    <t>4) услуги по организации и обслуживанию ярмарок, торговых выставок для граждан и юридических лиц.</t>
  </si>
  <si>
    <t>Директор муниципального автономного</t>
  </si>
  <si>
    <t>учреждения города Нижневартовска</t>
  </si>
  <si>
    <t>"Центр развития образования"</t>
  </si>
  <si>
    <t>Е.П. Яковлева</t>
  </si>
  <si>
    <t>Муниципальное автономное учреждение города Нижневартовска</t>
  </si>
  <si>
    <t>на 2017 год и на плановый период 2018 и 2019 годов</t>
  </si>
  <si>
    <t>628611, Тюменская обл., ХМАО-Югра, 
г. Нижневартовск, ул. Мира, д.56 "б"</t>
  </si>
  <si>
    <t>cro-nv@mail.ru</t>
  </si>
  <si>
    <t>8 (3466) 45-63-42</t>
  </si>
  <si>
    <t>8 (3466) 45-81-60</t>
  </si>
  <si>
    <t>Яковлева Елена Павловна</t>
  </si>
  <si>
    <t>Иванова Елена Владимировна</t>
  </si>
  <si>
    <t>Устав;                                                                                                Распоряжение Главы города от 28.12.2005г.        № 1591</t>
  </si>
  <si>
    <t>1068603001400, 25.01.2006</t>
  </si>
  <si>
    <t>4.3. На расходы, не отнесенные к нормативным затратам, связанным с выполнением муниципального задания, к бюджетным инвестициям и к публичным обязательствам перед физическими лицами в денежной форме, полномочия по исполнению которых переданы в установленном порядке учреждению                                                                                                                                                                               (код субсидии 006.20.0010)</t>
  </si>
  <si>
    <t>Оплата работ, услуг - всего, в том числе:</t>
  </si>
  <si>
    <t>4.4. Муниципальная программа "Комплексные меры по пропаганде здорового образа жизни (профилактика наркомании, токсикомании) в городе Нижневартовске на 2016-2020 годы"                                                                                                             (код субсидии 006.20.0014)</t>
  </si>
  <si>
    <t>Премии и гранты</t>
  </si>
  <si>
    <t>4.5. Муниципальная программа "Развитие образования города Нижневартовска на 2015-2020 годы"
(код субсидии 006.20.0015)</t>
  </si>
  <si>
    <t>4.6. Муниципальная программа "Профилактика терроризма и экстремизма в городе Нижневартовске                                               на 2015-2020 годы"                                                                                                                                                                                                               (код субсидии 006.20.0017)</t>
  </si>
  <si>
    <t>Иные выплаты, за исключением фонда оплаты труда учреждений, лицам, привлекаемым согласно законодательству
для выполнения отдельных полномочий</t>
  </si>
  <si>
    <t>Е.В. Иванова</t>
  </si>
  <si>
    <t>Общая площадь объектов недвижимого имущества, закрепленная за муниципальным учреждением, кв. м., в том числе каждого объекта:
а) здание МАУ г. Нижневартовска "ЦРО"</t>
  </si>
  <si>
    <t>Стоимость имущества, закрепленного собственником имущества за учреждением на праве оперативного управления, руб.,
в том числе каждого объекта:
а) здание МАУ г. Нижневартовска "ЦРО"</t>
  </si>
  <si>
    <t>4.7. Муниципальная программа "Комплекс мероприятий по профилактике правонарушений в городе Нижневартовске на 2015-2020 годы"                                                                                                                                                                                    (код субсидии 006.20.0034)</t>
  </si>
  <si>
    <t>на 2017 г. очередной финансовый год</t>
  </si>
  <si>
    <t>на 2017  г. очередной финансовый год</t>
  </si>
  <si>
    <t>х</t>
  </si>
  <si>
    <t>Предоставление доступа к сети местной телефонной связи</t>
  </si>
  <si>
    <t>Услуги сети Интернет (абонентская плата)</t>
  </si>
  <si>
    <t>Услуги абонентского обслуживания по тарифному плану ЮЛ "Бюджетник"</t>
  </si>
  <si>
    <t>Дератизация помещений</t>
  </si>
  <si>
    <t>Дезинсекция помещений</t>
  </si>
  <si>
    <t>Вывоз ТБО</t>
  </si>
  <si>
    <t>Вывоз ртутьсодержащих ламп</t>
  </si>
  <si>
    <t>Зарядка огнетушителей</t>
  </si>
  <si>
    <t>Уборка территории от снега</t>
  </si>
  <si>
    <t>Устранение образования ледяного нароста на карнизах</t>
  </si>
  <si>
    <t>Поверка приборов учета тепловой энергии</t>
  </si>
  <si>
    <t>Проверка приборов узлов учета холодной, горячей воды</t>
  </si>
  <si>
    <t>Техническое обслуживание узлов учета тепловой энергии</t>
  </si>
  <si>
    <t>Техническое обслуживание узлов учета холодной и горячей воды</t>
  </si>
  <si>
    <t>Техническое обслуживание охранно-пожарно сигнализации и системы оповещения людей о пожаре</t>
  </si>
  <si>
    <t>Проведение технического осмотра транспортных средств</t>
  </si>
  <si>
    <t xml:space="preserve">Проверка работоспособности противопожарных дверей </t>
  </si>
  <si>
    <t>Расходы на обслуживание КТС</t>
  </si>
  <si>
    <t>Проверка работоспособности сетей внутреннего противопожарного водопровода (1 раз в полгода)</t>
  </si>
  <si>
    <t>Обслуживание мини АТС</t>
  </si>
  <si>
    <t>Проведение предрейсового и послерейсового технического осмотра автотранспорта</t>
  </si>
  <si>
    <t>Обслуживание программно-аппаратного комплекса (ПАК) "Стрелец-Мониторинг"</t>
  </si>
  <si>
    <t>Техническое обслуживание и ремонт торгово-технологического оборудования</t>
  </si>
  <si>
    <t xml:space="preserve">Ремонт оборудования </t>
  </si>
  <si>
    <t>Техническое обслуживание ПВМ и ремонт ВТР</t>
  </si>
  <si>
    <t>Техническое обслуживание и ремонт вентиляционного оборудования</t>
  </si>
  <si>
    <t>Техническое обслуживание и ремонт электрического оборудования</t>
  </si>
  <si>
    <t>Техническое обслуживание и ремонт сантехнического оборудования</t>
  </si>
  <si>
    <t>Оказание услуг по промывке системы отопления</t>
  </si>
  <si>
    <t>Проверка эффективности огнезащитной обработки</t>
  </si>
  <si>
    <t>Изготовление полиграфической продукции</t>
  </si>
  <si>
    <t>Поставка живых цветов</t>
  </si>
  <si>
    <t>Поставка сувенирной продукции  (рамок,  подарки и проч.)</t>
  </si>
  <si>
    <t>Услуги по обслуживанию программных систем</t>
  </si>
  <si>
    <t>Обязательное страхование гражданской ответственности</t>
  </si>
  <si>
    <t>Оказание услуг по сопровождению программного обеспечения и консультационные услуги</t>
  </si>
  <si>
    <t>Медицинское обследование работников</t>
  </si>
  <si>
    <t>Обезвреживание ртутьсодержащих отходов</t>
  </si>
  <si>
    <t>Размещение публичного отчета о деятельности учреждения</t>
  </si>
  <si>
    <t>Проведение экспертизы на списание компьютерной техники, сдача на утилизацию компьютерной техники</t>
  </si>
  <si>
    <t>Услуги платной автостоянки</t>
  </si>
  <si>
    <t>Расходы на оказание охранных услуг посредством КТС</t>
  </si>
  <si>
    <t>Обучение работников по пожарной безопасности</t>
  </si>
  <si>
    <t>Обучение работников по  охране труда</t>
  </si>
  <si>
    <t>Обучение работников по обеспечению электробезопасности</t>
  </si>
  <si>
    <t>Обучение работников по ПДД</t>
  </si>
  <si>
    <t>Прием, складирование и утилизация снега</t>
  </si>
  <si>
    <t>Услуги по проведению предрейсового и послерейсового медицинского осмотра водителей</t>
  </si>
  <si>
    <t>Утилизация ТБО</t>
  </si>
  <si>
    <t>Услуги по паспортизации здания, прочие услуги</t>
  </si>
  <si>
    <t>Подписка периодических изданий</t>
  </si>
  <si>
    <t xml:space="preserve">Приобретение и обновление лицензий и системное програмное обеспечение </t>
  </si>
  <si>
    <t>Приобретение и обновление лицензий и системное програмное обеспечение по обеспечению безопасности</t>
  </si>
  <si>
    <t>Аттестация рабочих мест по защите персональных данных в ООО Аверс</t>
  </si>
  <si>
    <t>Услуги по предоставлению нормативно-правовой базы (Консультант+)</t>
  </si>
  <si>
    <t>Услуги по техническому надзору, ведению технической документации и сметных расчетов по договорам надзора</t>
  </si>
  <si>
    <t>Предоставление доступа к системе интернет отчетности в контролирующие органы "Контур-Экстерн", СБИС+</t>
  </si>
  <si>
    <t>Типографические работы</t>
  </si>
  <si>
    <t>Погрузочно-разгрузочные работы</t>
  </si>
  <si>
    <t>Услуги по проведению семинаров</t>
  </si>
  <si>
    <t>Услуги по изготовлению и размещению роликов социальной рекламы</t>
  </si>
  <si>
    <t>Приобретение диагностических программ</t>
  </si>
  <si>
    <t>Услуги по организации мероприятия (оформление зала, проведение мероприятий)</t>
  </si>
  <si>
    <t>Приобретение основных средств</t>
  </si>
  <si>
    <t>Медикаменты</t>
  </si>
  <si>
    <t>Мягкий инвентарь и обмундирование</t>
  </si>
  <si>
    <t xml:space="preserve">Хозяйственные расходы </t>
  </si>
  <si>
    <t>Запас дезинфицирующих средств</t>
  </si>
  <si>
    <t>Расходы на оргтехнику</t>
  </si>
  <si>
    <t>Приобретение предметов</t>
  </si>
  <si>
    <t>Приобретение ГСМ</t>
  </si>
  <si>
    <t xml:space="preserve">Изготовление и поставка полиграфической продукции </t>
  </si>
  <si>
    <t>Поставка канцелярских товваров</t>
  </si>
  <si>
    <t>Приобретение автомобильных запасных частей</t>
  </si>
  <si>
    <t>Приобретение демонстрационных и агитационных материалов</t>
  </si>
  <si>
    <t>на 2018 г. 1-ый год планового периода</t>
  </si>
  <si>
    <t>на 2019 г. 2-ой год планового периода</t>
  </si>
  <si>
    <t>на 2018  г. 1-ый год планового периода</t>
  </si>
  <si>
    <t>на 2019  г. 2-ой год планового периода</t>
  </si>
  <si>
    <t>4.8. Муниципальная программа "Электронный Нижневартовск на 2017-2020 годы и на период до 2030 года"                                                                                                                                            (код субсидии 006.20.0049)</t>
  </si>
  <si>
    <t>4.9. 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                                                                                                                                            (код субсидии 006.20.0013)</t>
  </si>
  <si>
    <t>Отпуск питьевой воды и прием сточных вод</t>
  </si>
  <si>
    <t>Подача тепловой энергии и горячей воды</t>
  </si>
  <si>
    <t>Продажа электрической энергии</t>
  </si>
  <si>
    <t>Услуги транспортного и гостиничного облуживания</t>
  </si>
  <si>
    <t>Выполнение ремонтных работ</t>
  </si>
  <si>
    <t>Услуги по договорам</t>
  </si>
  <si>
    <t>Специальная оценка труда</t>
  </si>
  <si>
    <t>Исп. Заместитель директора по АХР Ярмонова О.М.</t>
  </si>
  <si>
    <t xml:space="preserve"> +7/3466/45-44-81</t>
  </si>
  <si>
    <t>Главный бухгалтер</t>
  </si>
  <si>
    <t xml:space="preserve">Таблица 1. Показатели финансового состояния учреждения 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</si>
  <si>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</si>
  <si>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</si>
  <si>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</si>
  <si>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</si>
  <si>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</si>
  <si>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</si>
  <si>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</si>
  <si>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</si>
  <si>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</si>
  <si>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</si>
  <si>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</si>
  <si>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</si>
  <si>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</si>
  <si>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</si>
  <si>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</si>
  <si>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</si>
  <si>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3. Сведения о средствах, поступающих</t>
  </si>
  <si>
    <t xml:space="preserve">во временное распоряжение учреждения </t>
  </si>
  <si>
    <t>(очередной финансовый год)</t>
  </si>
  <si>
    <t xml:space="preserve">Сумма </t>
  </si>
  <si>
    <t>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</si>
  <si>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</si>
  <si>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</si>
  <si>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</si>
  <si>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</si>
  <si>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4. Справочная информация</t>
  </si>
  <si>
    <t>Сумма (тыс. руб.)</t>
  </si>
  <si>
    <t>2017 год</t>
  </si>
  <si>
    <t>2018 год</t>
  </si>
  <si>
    <t>2019 год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</si>
  <si>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</si>
  <si>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</si>
  <si>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</si>
  <si>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(подпись)               (расшифровка подписи)</t>
  </si>
  <si>
    <t xml:space="preserve">                                                            </t>
  </si>
  <si>
    <t xml:space="preserve">                                                              (подпись)                    (расшифровка подписи)</t>
  </si>
  <si>
    <t>МП</t>
  </si>
  <si>
    <t>Форма 6. Показатели по поступлениям и выплатам учреждения за счет поступлений от иной приносящей доход деятельности</t>
  </si>
  <si>
    <t>Форма 5. Показатели по поступлениям и выплатам учреждения за счет поступлений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</si>
  <si>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r>
      <t>на  2017 г</t>
    </r>
    <r>
      <rPr>
        <sz val="14"/>
        <color theme="1"/>
        <rFont val="Times New Roman"/>
        <family val="1"/>
        <charset val="204"/>
      </rPr>
      <t>.</t>
    </r>
  </si>
  <si>
    <t>Руководитель учреждения  ________________               Е.П. Яковлева</t>
  </si>
  <si>
    <t>Главный бухгалтер учреждения     ______________                     Е.В. Иванова</t>
  </si>
  <si>
    <t>Исполнитель   Главный бухгалтер       __________          Е.В. Иванова</t>
  </si>
  <si>
    <t xml:space="preserve">                                                    ( должность)                 (подпись)        (расшифровка подписи)</t>
  </si>
  <si>
    <t xml:space="preserve">                           "_______"  ______________ 2017 г.</t>
  </si>
  <si>
    <t>(последнюю отчетную дату)</t>
  </si>
  <si>
    <t>Таблица 2. Показатели по поступлениям и выплатам учреждения</t>
  </si>
  <si>
    <t xml:space="preserve">на 2017 год 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</si>
  <si>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</si>
  <si>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</si>
  <si>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код видов  расходов (КВР)</t>
  </si>
  <si>
    <t>код операций сектора государственного управления (КОСГУ)</t>
  </si>
  <si>
    <t>Всего</t>
  </si>
  <si>
    <t xml:space="preserve">субсидия на финансовое обеспечение выполнения муниципального задания </t>
  </si>
  <si>
    <t>субсидий, предоставляемых  в соответствии с абзацем вторым пункта 1 статьи 78.1 Бюджетного кодекса Российской Федерации</t>
  </si>
  <si>
    <t>средства от оказания услуг на платной основе и от иной приносящей доход деятельности</t>
  </si>
  <si>
    <t>Фактический остаток средств на начало года</t>
  </si>
  <si>
    <t>Поступления от доходов, всего:</t>
  </si>
  <si>
    <t>доходы от собственности</t>
  </si>
  <si>
    <t>доходы от оказания услуг, работ</t>
  </si>
  <si>
    <t>из них,</t>
  </si>
  <si>
    <t xml:space="preserve">  -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</si>
  <si>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 xml:space="preserve"> - 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</si>
  <si>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субсидия на финансовое обеспечение выполнения муниципального задания</t>
  </si>
  <si>
    <t>доходы от штрафов, пеней, иных сумм принудительного изъятия</t>
  </si>
  <si>
    <t>x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</si>
  <si>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</si>
  <si>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</si>
  <si>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</si>
  <si>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</si>
  <si>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Расходы на выплаты персоналу в целях обеспечения выполнения функций – </t>
  </si>
  <si>
    <t>всего:</t>
  </si>
  <si>
    <t xml:space="preserve">в том числе, </t>
  </si>
  <si>
    <t>расходы на выплаты персоналу учреждения, всего: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</si>
  <si>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</si>
  <si>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</si>
  <si>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</si>
  <si>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Закупка товаров, работ и услуг для обеспечения государственных (муниципальных) нужд – всего:</t>
  </si>
  <si>
    <t>в том числе,</t>
  </si>
  <si>
    <t>иные закупки товаров, работ и услуг для обеспечения государственных (муниципальных) нужд, всего</t>
  </si>
  <si>
    <t>закупка товаров, работ, услуг в целях капитального ремонта государственного (муниципального) имущества</t>
  </si>
  <si>
    <t>- работы, услуги по содержанию имущества</t>
  </si>
  <si>
    <t>243</t>
  </si>
  <si>
    <t>- прочие работы, услуги</t>
  </si>
  <si>
    <t>прочая закупка товаров, работ и услуг для обеспечения государственных (муниципальных) нужд</t>
  </si>
  <si>
    <t>- услуги связи</t>
  </si>
  <si>
    <t>- транспортные услуги</t>
  </si>
  <si>
    <t>- коммунальные услуги</t>
  </si>
  <si>
    <t>- арендная плата за пользование имуществом</t>
  </si>
  <si>
    <t>244</t>
  </si>
  <si>
    <t>- прочие расходы</t>
  </si>
  <si>
    <t>- увеличение стоимости основных средств</t>
  </si>
  <si>
    <t>- увеличение стоимости материальных запасов</t>
  </si>
  <si>
    <t>Социальное обеспечение и иные выплаты населению – всего:</t>
  </si>
  <si>
    <t>премии и гранты</t>
  </si>
  <si>
    <t>Иные бюджетные ассигнования –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</si>
  <si>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</si>
  <si>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</si>
  <si>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</si>
  <si>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</si>
  <si>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</si>
  <si>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</si>
  <si>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</si>
  <si>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прочие выбытия</t>
  </si>
  <si>
    <t>Планируемый остаток средств на конец планируемого года</t>
  </si>
  <si>
    <t xml:space="preserve">на 2018 год </t>
  </si>
  <si>
    <t xml:space="preserve">на 2019 год </t>
  </si>
  <si>
    <t xml:space="preserve">Иные выплаты, за исключением фонда оплаты труда учреждений, лицам, привлекаемым согласно законодательству
для выполнения отдельных полномочий - всего: </t>
  </si>
  <si>
    <t>в том числе,                                                                                                                                                                                           прочие расходы</t>
  </si>
  <si>
    <t>уменьшение остатков средств</t>
  </si>
  <si>
    <t>" 21 " марта 2017 г.</t>
  </si>
  <si>
    <t>а) содействие стабильному функционированию и развитию муници-пальной системы образования;</t>
  </si>
  <si>
    <t>б) создание условий для развития кадрового потенциала муниципальных образовательных учреждений;</t>
  </si>
  <si>
    <t>г) реализация муниципальных программ.</t>
  </si>
  <si>
    <t>в) информационно-методическая и техническая поддержка информатизации муниципальной системы образования;</t>
  </si>
  <si>
    <t>на "01" января 2017 г.</t>
  </si>
  <si>
    <t>ПРОЕКТ ПЛАНА</t>
  </si>
  <si>
    <t>Расходы на выплаты персоналу в целях обеспечения выполнения функций – всего:</t>
  </si>
  <si>
    <t xml:space="preserve">из них,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</si>
</sst>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vertical="center" wrapText="1"/>
    </xf>
    <xf numFmtId="0" fontId="18" fillId="5" borderId="2" xfId="2" applyFont="1" applyFill="1" applyBorder="1" applyAlignment="1">
      <alignment horizontal="center" vertical="center" wrapText="1"/>
    </xf>
    <xf numFmtId="4" fontId="20" fillId="5" borderId="2" xfId="2" applyNumberFormat="1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20" fillId="5" borderId="2" xfId="2" applyFont="1" applyFill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2" fillId="0" borderId="0" xfId="0" applyFont="1" applyFill="1" applyAlignment="1"/>
    <xf numFmtId="0" fontId="23" fillId="0" borderId="0" xfId="0" applyFont="1" applyFill="1"/>
    <xf numFmtId="4" fontId="22" fillId="0" borderId="0" xfId="0" applyNumberFormat="1" applyFont="1" applyFill="1" applyAlignment="1"/>
    <xf numFmtId="0" fontId="23" fillId="0" borderId="1" xfId="0" applyFont="1" applyFill="1" applyBorder="1"/>
    <xf numFmtId="2" fontId="24" fillId="0" borderId="1" xfId="0" applyNumberFormat="1" applyFont="1" applyFill="1" applyBorder="1" applyAlignment="1"/>
    <xf numFmtId="4" fontId="25" fillId="0" borderId="0" xfId="0" applyNumberFormat="1" applyFont="1" applyFill="1"/>
    <xf numFmtId="4" fontId="23" fillId="0" borderId="0" xfId="0" applyNumberFormat="1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4" fontId="27" fillId="0" borderId="0" xfId="0" applyNumberFormat="1" applyFont="1" applyFill="1" applyAlignment="1"/>
    <xf numFmtId="2" fontId="28" fillId="0" borderId="0" xfId="0" applyNumberFormat="1" applyFont="1" applyFill="1" applyAlignment="1"/>
    <xf numFmtId="4" fontId="26" fillId="0" borderId="0" xfId="0" applyNumberFormat="1" applyFont="1" applyFill="1"/>
    <xf numFmtId="0" fontId="26" fillId="0" borderId="0" xfId="0" applyFont="1" applyFill="1"/>
    <xf numFmtId="0" fontId="26" fillId="0" borderId="0" xfId="0" applyFont="1" applyFill="1" applyAlignment="1"/>
    <xf numFmtId="2" fontId="28" fillId="0" borderId="0" xfId="0" applyNumberFormat="1" applyFont="1" applyFill="1"/>
    <xf numFmtId="0" fontId="26" fillId="0" borderId="0" xfId="0" applyFont="1" applyFill="1" applyAlignment="1">
      <alignment horizontal="left"/>
    </xf>
    <xf numFmtId="0" fontId="23" fillId="0" borderId="0" xfId="0" applyFont="1" applyFill="1" applyBorder="1"/>
    <xf numFmtId="2" fontId="24" fillId="0" borderId="0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 indent="2"/>
    </xf>
    <xf numFmtId="0" fontId="18" fillId="0" borderId="15" xfId="0" applyFont="1" applyBorder="1" applyAlignment="1">
      <alignment horizontal="left" vertical="center" wrapText="1" indent="2"/>
    </xf>
    <xf numFmtId="0" fontId="18" fillId="0" borderId="17" xfId="0" applyFont="1" applyBorder="1" applyAlignment="1">
      <alignment horizontal="left" vertical="center" wrapText="1" indent="4"/>
    </xf>
    <xf numFmtId="0" fontId="18" fillId="0" borderId="15" xfId="0" applyFont="1" applyBorder="1" applyAlignment="1">
      <alignment horizontal="left" vertical="center" wrapText="1" indent="4"/>
    </xf>
    <xf numFmtId="0" fontId="18" fillId="0" borderId="15" xfId="0" applyFont="1" applyBorder="1" applyAlignment="1">
      <alignment horizontal="left" vertical="center" wrapText="1" indent="3"/>
    </xf>
    <xf numFmtId="0" fontId="18" fillId="0" borderId="17" xfId="0" applyFont="1" applyBorder="1" applyAlignment="1">
      <alignment horizontal="left" vertical="center" wrapText="1" indent="6"/>
    </xf>
    <xf numFmtId="0" fontId="18" fillId="0" borderId="15" xfId="0" applyFont="1" applyBorder="1" applyAlignment="1">
      <alignment horizontal="left" vertical="center" wrapText="1" indent="6"/>
    </xf>
    <xf numFmtId="0" fontId="18" fillId="0" borderId="15" xfId="0" applyFont="1" applyBorder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18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14" fontId="26" fillId="0" borderId="0" xfId="0" applyNumberFormat="1" applyFont="1" applyFill="1" applyAlignment="1">
      <alignment horizontal="left" vertical="center"/>
    </xf>
    <xf numFmtId="4" fontId="2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16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4" xfId="1" applyBorder="1" applyAlignment="1" applyProtection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" fontId="20" fillId="0" borderId="18" xfId="0" applyNumberFormat="1" applyFont="1" applyBorder="1" applyAlignment="1">
      <alignment vertical="center" wrapText="1"/>
    </xf>
    <xf numFmtId="4" fontId="20" fillId="0" borderId="15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5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24</xdr:row>
      <xdr:rowOff>19050</xdr:rowOff>
    </xdr:from>
    <xdr:to>
      <xdr:col>2</xdr:col>
      <xdr:colOff>1190625</xdr:colOff>
      <xdr:row>25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05400" y="4867275"/>
          <a:ext cx="3048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383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ev/Desktop/&#1052;&#1086;&#1080;%20&#1076;&#1086;&#1082;&#1091;&#1084;&#1077;&#1085;&#1090;&#1099;/&#1055;&#1083;&#1072;&#1085;%20&#1060;&#1061;&#1044;/&#1055;&#1083;&#1072;&#1085;%20&#1060;&#1061;&#1044;%202017/21.03.2017/&#1055;&#1083;&#1072;&#1085;%20&#1060;&#1061;&#1044;%20&#1085;&#1072;%202017%20&#1086;&#1090;%2021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раздел 2"/>
      <sheetName val="Т.1"/>
      <sheetName val="Т.2 на 2017"/>
      <sheetName val="Т.2 на 2018"/>
      <sheetName val="Т.2 на 2019"/>
      <sheetName val="Т.2.1"/>
      <sheetName val="ф.3"/>
      <sheetName val="ф.4"/>
      <sheetName val="ф.4 (2)"/>
      <sheetName val="ф.4 (3)"/>
      <sheetName val="ф.4 (4)"/>
      <sheetName val="ф.4 (5)"/>
      <sheetName val="ф.5"/>
      <sheetName val="ф.6"/>
      <sheetName val="Т.3"/>
      <sheetName val="Т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>
            <v>38425760</v>
          </cell>
        </row>
        <row r="11">
          <cell r="F11">
            <v>26360400</v>
          </cell>
        </row>
        <row r="12">
          <cell r="F12">
            <v>38700</v>
          </cell>
        </row>
        <row r="13">
          <cell r="F13">
            <v>7910200</v>
          </cell>
        </row>
        <row r="16">
          <cell r="F16">
            <v>305000</v>
          </cell>
        </row>
        <row r="17">
          <cell r="F17">
            <v>159000</v>
          </cell>
        </row>
        <row r="18">
          <cell r="F18">
            <v>1140070</v>
          </cell>
        </row>
        <row r="19">
          <cell r="F19">
            <v>0</v>
          </cell>
        </row>
        <row r="20">
          <cell r="F20">
            <v>649000</v>
          </cell>
        </row>
        <row r="21">
          <cell r="F21">
            <v>917690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554700</v>
          </cell>
        </row>
        <row r="31">
          <cell r="F31">
            <v>381000</v>
          </cell>
        </row>
        <row r="32">
          <cell r="F32">
            <v>10000</v>
          </cell>
        </row>
      </sheetData>
      <sheetData sheetId="8">
        <row r="9">
          <cell r="H9">
            <v>1214000</v>
          </cell>
        </row>
        <row r="12">
          <cell r="H12">
            <v>1214000</v>
          </cell>
        </row>
        <row r="23">
          <cell r="H23">
            <v>225000</v>
          </cell>
        </row>
        <row r="26">
          <cell r="H26">
            <v>175000</v>
          </cell>
        </row>
        <row r="27">
          <cell r="H27">
            <v>50000</v>
          </cell>
        </row>
      </sheetData>
      <sheetData sheetId="9">
        <row r="9">
          <cell r="H9">
            <v>50000</v>
          </cell>
        </row>
        <row r="12">
          <cell r="H12">
            <v>36000</v>
          </cell>
        </row>
        <row r="13">
          <cell r="H13">
            <v>14000</v>
          </cell>
        </row>
        <row r="23">
          <cell r="H23">
            <v>345000</v>
          </cell>
        </row>
        <row r="26">
          <cell r="H26">
            <v>300000</v>
          </cell>
        </row>
        <row r="27">
          <cell r="H27">
            <v>4275</v>
          </cell>
        </row>
        <row r="28">
          <cell r="H28">
            <v>0</v>
          </cell>
        </row>
        <row r="30">
          <cell r="H30">
            <v>40725</v>
          </cell>
        </row>
      </sheetData>
      <sheetData sheetId="10">
        <row r="9">
          <cell r="H9">
            <v>5032000</v>
          </cell>
        </row>
        <row r="12">
          <cell r="H12">
            <v>8000</v>
          </cell>
        </row>
        <row r="13">
          <cell r="H13">
            <v>3000</v>
          </cell>
        </row>
        <row r="15">
          <cell r="H15">
            <v>1273650</v>
          </cell>
        </row>
        <row r="18">
          <cell r="H18">
            <v>0</v>
          </cell>
        </row>
        <row r="19">
          <cell r="H19">
            <v>748000</v>
          </cell>
        </row>
        <row r="20">
          <cell r="H20">
            <v>191650</v>
          </cell>
        </row>
        <row r="23">
          <cell r="H23">
            <v>373320</v>
          </cell>
        </row>
        <row r="29">
          <cell r="G29">
            <v>2434380</v>
          </cell>
        </row>
      </sheetData>
      <sheetData sheetId="11">
        <row r="9">
          <cell r="H9">
            <v>320000</v>
          </cell>
        </row>
        <row r="12">
          <cell r="H12">
            <v>26000</v>
          </cell>
        </row>
        <row r="13">
          <cell r="H13">
            <v>20340</v>
          </cell>
        </row>
        <row r="14">
          <cell r="H14">
            <v>5600</v>
          </cell>
        </row>
        <row r="16">
          <cell r="H16">
            <v>268060</v>
          </cell>
        </row>
        <row r="26">
          <cell r="H26">
            <v>685000</v>
          </cell>
        </row>
        <row r="29">
          <cell r="H29">
            <v>400000</v>
          </cell>
        </row>
        <row r="30">
          <cell r="H30">
            <v>50000</v>
          </cell>
        </row>
        <row r="31">
          <cell r="H31">
            <v>135000</v>
          </cell>
        </row>
        <row r="33">
          <cell r="H33">
            <v>100000</v>
          </cell>
        </row>
      </sheetData>
      <sheetData sheetId="12">
        <row r="9">
          <cell r="H9">
            <v>100000</v>
          </cell>
        </row>
        <row r="12">
          <cell r="H12">
            <v>100000</v>
          </cell>
        </row>
        <row r="22">
          <cell r="H22">
            <v>0</v>
          </cell>
        </row>
        <row r="25">
          <cell r="H25">
            <v>0</v>
          </cell>
        </row>
        <row r="26">
          <cell r="H26">
            <v>0</v>
          </cell>
        </row>
      </sheetData>
      <sheetData sheetId="13">
        <row r="6">
          <cell r="H6">
            <v>1079.26</v>
          </cell>
        </row>
        <row r="7">
          <cell r="H7">
            <v>247608</v>
          </cell>
        </row>
        <row r="11">
          <cell r="H11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196825</v>
          </cell>
        </row>
        <row r="18">
          <cell r="H18">
            <v>0</v>
          </cell>
        </row>
        <row r="19">
          <cell r="H19">
            <v>46070</v>
          </cell>
        </row>
        <row r="20">
          <cell r="H20">
            <v>5792.26</v>
          </cell>
        </row>
        <row r="21">
          <cell r="H21">
            <v>0</v>
          </cell>
        </row>
        <row r="23">
          <cell r="H23">
            <v>0</v>
          </cell>
        </row>
        <row r="24">
          <cell r="H24">
            <v>0</v>
          </cell>
        </row>
        <row r="30">
          <cell r="H30">
            <v>0</v>
          </cell>
        </row>
        <row r="31">
          <cell r="G31">
            <v>0</v>
          </cell>
        </row>
      </sheetData>
      <sheetData sheetId="14">
        <row r="5">
          <cell r="H5">
            <v>276363.99</v>
          </cell>
        </row>
        <row r="6">
          <cell r="H6">
            <v>1043028</v>
          </cell>
        </row>
        <row r="10">
          <cell r="H10">
            <v>52000</v>
          </cell>
        </row>
        <row r="14">
          <cell r="H14">
            <v>8349.7900000000009</v>
          </cell>
        </row>
        <row r="15">
          <cell r="H15">
            <v>0</v>
          </cell>
        </row>
        <row r="16">
          <cell r="H16">
            <v>107309.45999999999</v>
          </cell>
        </row>
        <row r="17">
          <cell r="H17">
            <v>0</v>
          </cell>
        </row>
        <row r="18">
          <cell r="H18">
            <v>202701.06999999998</v>
          </cell>
        </row>
        <row r="19">
          <cell r="H19">
            <v>350907.67</v>
          </cell>
        </row>
        <row r="20">
          <cell r="H20">
            <v>20000</v>
          </cell>
        </row>
        <row r="22">
          <cell r="H22">
            <v>245529</v>
          </cell>
        </row>
        <row r="23">
          <cell r="H23">
            <v>238800</v>
          </cell>
        </row>
        <row r="29">
          <cell r="H29">
            <v>5000</v>
          </cell>
        </row>
        <row r="31">
          <cell r="H31">
            <v>23926.13</v>
          </cell>
        </row>
        <row r="32">
          <cell r="H32">
            <v>34868.870000000003</v>
          </cell>
        </row>
        <row r="33">
          <cell r="H33">
            <v>30000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-nv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2"/>
  <sheetViews>
    <sheetView tabSelected="1" workbookViewId="0">
      <selection activeCell="A13" sqref="A13:C13"/>
    </sheetView>
  </sheetViews>
  <sheetFormatPr defaultRowHeight="15" x14ac:dyDescent="0.25"/>
  <cols>
    <col min="1" max="1" width="46.85546875" style="1" customWidth="1"/>
    <col min="2" max="2" width="16.42578125" style="1" customWidth="1"/>
    <col min="3" max="3" width="23.7109375" style="1" customWidth="1"/>
    <col min="4" max="16384" width="9.140625" style="1"/>
  </cols>
  <sheetData>
    <row r="3" spans="1:3" ht="20.25" x14ac:dyDescent="0.3">
      <c r="A3" s="27"/>
      <c r="B3" s="173" t="s">
        <v>0</v>
      </c>
      <c r="C3" s="173"/>
    </row>
    <row r="4" spans="1:3" x14ac:dyDescent="0.25">
      <c r="A4"/>
      <c r="B4" s="180" t="s">
        <v>121</v>
      </c>
      <c r="C4" s="180"/>
    </row>
    <row r="5" spans="1:3" x14ac:dyDescent="0.25">
      <c r="A5"/>
      <c r="B5" s="180" t="s">
        <v>122</v>
      </c>
      <c r="C5" s="180"/>
    </row>
    <row r="6" spans="1:3" x14ac:dyDescent="0.25">
      <c r="A6"/>
      <c r="B6" s="53" t="s">
        <v>123</v>
      </c>
      <c r="C6" s="53"/>
    </row>
    <row r="7" spans="1:3" x14ac:dyDescent="0.25">
      <c r="B7" s="4"/>
      <c r="C7" s="3" t="s">
        <v>124</v>
      </c>
    </row>
    <row r="8" spans="1:3" x14ac:dyDescent="0.25">
      <c r="B8" s="29" t="s">
        <v>75</v>
      </c>
      <c r="C8" s="30" t="s">
        <v>76</v>
      </c>
    </row>
    <row r="9" spans="1:3" ht="15" customHeight="1" x14ac:dyDescent="0.25">
      <c r="C9" s="2" t="s">
        <v>1</v>
      </c>
    </row>
    <row r="12" spans="1:3" ht="20.25" x14ac:dyDescent="0.3">
      <c r="A12" s="174" t="s">
        <v>357</v>
      </c>
      <c r="B12" s="174"/>
      <c r="C12" s="174"/>
    </row>
    <row r="13" spans="1:3" ht="18.75" x14ac:dyDescent="0.3">
      <c r="A13" s="175" t="s">
        <v>2</v>
      </c>
      <c r="B13" s="175"/>
      <c r="C13" s="175"/>
    </row>
    <row r="14" spans="1:3" ht="19.5" customHeight="1" x14ac:dyDescent="0.25">
      <c r="A14" s="176" t="s">
        <v>125</v>
      </c>
      <c r="B14" s="176"/>
      <c r="C14" s="176"/>
    </row>
    <row r="15" spans="1:3" ht="19.5" customHeight="1" x14ac:dyDescent="0.25">
      <c r="A15" s="177" t="s">
        <v>123</v>
      </c>
      <c r="B15" s="177"/>
      <c r="C15" s="177"/>
    </row>
    <row r="16" spans="1:3" ht="15" customHeight="1" x14ac:dyDescent="0.25">
      <c r="A16" s="178" t="s">
        <v>77</v>
      </c>
      <c r="B16" s="178"/>
      <c r="C16" s="178"/>
    </row>
    <row r="17" spans="1:3" ht="26.25" customHeight="1" x14ac:dyDescent="0.3">
      <c r="A17" s="175" t="s">
        <v>126</v>
      </c>
      <c r="B17" s="175"/>
      <c r="C17" s="175"/>
    </row>
    <row r="19" spans="1:3" x14ac:dyDescent="0.25">
      <c r="C19" s="31" t="s">
        <v>351</v>
      </c>
    </row>
    <row r="20" spans="1:3" ht="12" customHeight="1" x14ac:dyDescent="0.25">
      <c r="C20" s="5" t="s">
        <v>3</v>
      </c>
    </row>
    <row r="21" spans="1:3" ht="12" customHeight="1" x14ac:dyDescent="0.25">
      <c r="C21" s="5"/>
    </row>
    <row r="22" spans="1:3" ht="23.25" x14ac:dyDescent="0.25">
      <c r="A22" s="6" t="s">
        <v>4</v>
      </c>
    </row>
    <row r="23" spans="1:3" ht="18" customHeight="1" x14ac:dyDescent="0.25">
      <c r="A23" s="8" t="s">
        <v>5</v>
      </c>
      <c r="B23" s="7"/>
      <c r="C23" s="7"/>
    </row>
    <row r="24" spans="1:3" ht="12" customHeight="1" x14ac:dyDescent="0.25">
      <c r="A24" s="8"/>
      <c r="B24" s="7"/>
      <c r="C24" s="7"/>
    </row>
    <row r="25" spans="1:3" ht="15" customHeight="1" x14ac:dyDescent="0.25">
      <c r="A25" s="9" t="s">
        <v>6</v>
      </c>
      <c r="C25" s="9" t="s">
        <v>7</v>
      </c>
    </row>
    <row r="26" spans="1:3" ht="23.25" customHeight="1" x14ac:dyDescent="0.25"/>
    <row r="27" spans="1:3" ht="15.75" x14ac:dyDescent="0.25">
      <c r="A27" s="179" t="s">
        <v>8</v>
      </c>
      <c r="B27" s="179"/>
      <c r="C27" s="179"/>
    </row>
    <row r="28" spans="1:3" s="11" customFormat="1" ht="30.75" customHeight="1" x14ac:dyDescent="0.25">
      <c r="A28" s="10" t="s">
        <v>9</v>
      </c>
      <c r="B28" s="169" t="s">
        <v>127</v>
      </c>
      <c r="C28" s="172"/>
    </row>
    <row r="29" spans="1:3" s="11" customFormat="1" ht="30" customHeight="1" x14ac:dyDescent="0.25">
      <c r="A29" s="10" t="s">
        <v>10</v>
      </c>
      <c r="B29" s="169" t="s">
        <v>127</v>
      </c>
      <c r="C29" s="172"/>
    </row>
    <row r="30" spans="1:3" s="11" customFormat="1" x14ac:dyDescent="0.25">
      <c r="A30" s="10" t="s">
        <v>11</v>
      </c>
      <c r="B30" s="168" t="s">
        <v>128</v>
      </c>
      <c r="C30" s="167"/>
    </row>
    <row r="31" spans="1:3" s="11" customFormat="1" x14ac:dyDescent="0.25">
      <c r="A31" s="10" t="s">
        <v>12</v>
      </c>
      <c r="B31" s="166" t="s">
        <v>129</v>
      </c>
      <c r="C31" s="167"/>
    </row>
    <row r="32" spans="1:3" s="11" customFormat="1" x14ac:dyDescent="0.25">
      <c r="A32" s="10" t="s">
        <v>13</v>
      </c>
      <c r="B32" s="166" t="s">
        <v>130</v>
      </c>
      <c r="C32" s="167"/>
    </row>
    <row r="33" spans="1:3" s="11" customFormat="1" ht="30" customHeight="1" x14ac:dyDescent="0.25">
      <c r="A33" s="12" t="s">
        <v>14</v>
      </c>
      <c r="B33" s="169" t="s">
        <v>131</v>
      </c>
      <c r="C33" s="167"/>
    </row>
    <row r="34" spans="1:3" s="11" customFormat="1" ht="30" customHeight="1" x14ac:dyDescent="0.25">
      <c r="A34" s="12" t="s">
        <v>18</v>
      </c>
      <c r="B34" s="169" t="s">
        <v>132</v>
      </c>
      <c r="C34" s="167"/>
    </row>
    <row r="35" spans="1:3" s="11" customFormat="1" ht="78.75" customHeight="1" x14ac:dyDescent="0.25">
      <c r="A35" s="12" t="s">
        <v>15</v>
      </c>
      <c r="B35" s="170" t="s">
        <v>133</v>
      </c>
      <c r="C35" s="171"/>
    </row>
    <row r="36" spans="1:3" s="11" customFormat="1" ht="42" customHeight="1" x14ac:dyDescent="0.25">
      <c r="A36" s="12" t="s">
        <v>16</v>
      </c>
      <c r="B36" s="166" t="s">
        <v>134</v>
      </c>
      <c r="C36" s="167"/>
    </row>
    <row r="37" spans="1:3" s="11" customFormat="1" ht="30" x14ac:dyDescent="0.25">
      <c r="A37" s="12" t="s">
        <v>17</v>
      </c>
      <c r="B37" s="166">
        <v>8603129055</v>
      </c>
      <c r="C37" s="167"/>
    </row>
    <row r="38" spans="1:3" s="11" customFormat="1" ht="30" x14ac:dyDescent="0.25">
      <c r="A38" s="12" t="s">
        <v>19</v>
      </c>
      <c r="B38" s="166">
        <v>860301001</v>
      </c>
      <c r="C38" s="167"/>
    </row>
    <row r="39" spans="1:3" s="11" customFormat="1" x14ac:dyDescent="0.25"/>
    <row r="40" spans="1:3" s="11" customFormat="1" x14ac:dyDescent="0.25"/>
    <row r="41" spans="1:3" s="11" customFormat="1" x14ac:dyDescent="0.25"/>
    <row r="42" spans="1:3" s="11" customFormat="1" x14ac:dyDescent="0.25"/>
    <row r="43" spans="1:3" s="11" customFormat="1" x14ac:dyDescent="0.25"/>
    <row r="44" spans="1:3" s="11" customFormat="1" x14ac:dyDescent="0.25"/>
    <row r="45" spans="1:3" s="11" customFormat="1" x14ac:dyDescent="0.25"/>
    <row r="46" spans="1:3" s="11" customFormat="1" x14ac:dyDescent="0.25"/>
    <row r="47" spans="1:3" s="11" customFormat="1" x14ac:dyDescent="0.25"/>
    <row r="48" spans="1:3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</sheetData>
  <mergeCells count="21">
    <mergeCell ref="B29:C29"/>
    <mergeCell ref="B3:C3"/>
    <mergeCell ref="A12:C12"/>
    <mergeCell ref="A13:C13"/>
    <mergeCell ref="A14:C14"/>
    <mergeCell ref="A15:C15"/>
    <mergeCell ref="A16:C16"/>
    <mergeCell ref="A17:C17"/>
    <mergeCell ref="A27:C27"/>
    <mergeCell ref="B28:C28"/>
    <mergeCell ref="B4:C4"/>
    <mergeCell ref="B5:C5"/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</mergeCells>
  <hyperlinks>
    <hyperlink ref="B30" r:id="rId1"/>
  </hyperlinks>
  <pageMargins left="0.78740157480314965" right="0.19685039370078741" top="0.39370078740157483" bottom="0.3937007874015748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7" zoomScaleNormal="100" workbookViewId="0">
      <selection activeCell="I26" sqref="I26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3" spans="1:10" ht="66" customHeight="1" x14ac:dyDescent="0.25">
      <c r="A3" s="185" t="s">
        <v>135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4.25" customHeight="1" x14ac:dyDescent="0.25">
      <c r="A5" s="226" t="s">
        <v>38</v>
      </c>
      <c r="B5" s="226" t="s">
        <v>80</v>
      </c>
      <c r="C5" s="226" t="s">
        <v>40</v>
      </c>
      <c r="D5" s="226" t="s">
        <v>61</v>
      </c>
      <c r="E5" s="221" t="s">
        <v>105</v>
      </c>
      <c r="F5" s="222"/>
      <c r="G5" s="231"/>
      <c r="H5" s="230" t="s">
        <v>106</v>
      </c>
      <c r="I5" s="230"/>
      <c r="J5" s="230"/>
    </row>
    <row r="6" spans="1:10" ht="17.25" customHeight="1" x14ac:dyDescent="0.25">
      <c r="A6" s="227"/>
      <c r="B6" s="227"/>
      <c r="C6" s="227"/>
      <c r="D6" s="228"/>
      <c r="E6" s="232"/>
      <c r="F6" s="233"/>
      <c r="G6" s="234"/>
      <c r="H6" s="56" t="s">
        <v>102</v>
      </c>
      <c r="I6" s="56" t="s">
        <v>103</v>
      </c>
      <c r="J6" s="56" t="s">
        <v>104</v>
      </c>
    </row>
    <row r="7" spans="1:10" s="24" customFormat="1" ht="14.25" x14ac:dyDescent="0.25">
      <c r="A7" s="55">
        <v>1</v>
      </c>
      <c r="B7" s="55">
        <v>2</v>
      </c>
      <c r="C7" s="55">
        <v>3</v>
      </c>
      <c r="D7" s="55">
        <v>3</v>
      </c>
      <c r="E7" s="55">
        <v>4</v>
      </c>
      <c r="F7" s="55">
        <v>5</v>
      </c>
      <c r="G7" s="55">
        <v>4</v>
      </c>
      <c r="H7" s="56">
        <v>5</v>
      </c>
      <c r="I7" s="56">
        <v>6</v>
      </c>
      <c r="J7" s="56">
        <v>7</v>
      </c>
    </row>
    <row r="8" spans="1:10" ht="26.25" customHeight="1" x14ac:dyDescent="0.25">
      <c r="A8" s="22" t="s">
        <v>62</v>
      </c>
      <c r="B8" s="22"/>
      <c r="C8" s="55" t="s">
        <v>41</v>
      </c>
      <c r="D8" s="20"/>
      <c r="E8" s="20"/>
      <c r="F8" s="20"/>
      <c r="G8" s="64">
        <f>H8+I8+J8</f>
        <v>0</v>
      </c>
      <c r="H8" s="68">
        <v>0</v>
      </c>
      <c r="I8" s="66">
        <v>0</v>
      </c>
      <c r="J8" s="66">
        <v>0</v>
      </c>
    </row>
    <row r="9" spans="1:10" x14ac:dyDescent="0.25">
      <c r="A9" s="23" t="s">
        <v>64</v>
      </c>
      <c r="B9" s="23"/>
      <c r="C9" s="55" t="s">
        <v>41</v>
      </c>
      <c r="D9" s="20"/>
      <c r="E9" s="20"/>
      <c r="F9" s="20"/>
      <c r="G9" s="63">
        <f t="shared" ref="G9:G10" si="0">H9+I9+J9</f>
        <v>150000</v>
      </c>
      <c r="H9" s="63">
        <v>50000</v>
      </c>
      <c r="I9" s="67">
        <v>50000</v>
      </c>
      <c r="J9" s="67">
        <v>50000</v>
      </c>
    </row>
    <row r="10" spans="1:10" ht="23.25" customHeight="1" x14ac:dyDescent="0.25">
      <c r="A10" s="23" t="s">
        <v>42</v>
      </c>
      <c r="B10" s="23"/>
      <c r="C10" s="55" t="s">
        <v>41</v>
      </c>
      <c r="D10" s="20"/>
      <c r="E10" s="20"/>
      <c r="F10" s="20"/>
      <c r="G10" s="63">
        <f t="shared" si="0"/>
        <v>150000</v>
      </c>
      <c r="H10" s="63">
        <f>H11</f>
        <v>50000</v>
      </c>
      <c r="I10" s="67">
        <f>I11</f>
        <v>50000</v>
      </c>
      <c r="J10" s="67">
        <f>J11</f>
        <v>50000</v>
      </c>
    </row>
    <row r="11" spans="1:10" s="19" customFormat="1" ht="21.75" customHeight="1" x14ac:dyDescent="0.25">
      <c r="A11" s="70" t="s">
        <v>136</v>
      </c>
      <c r="B11" s="42">
        <v>244</v>
      </c>
      <c r="C11" s="42" t="s">
        <v>41</v>
      </c>
      <c r="D11" s="42"/>
      <c r="E11" s="42"/>
      <c r="F11" s="44"/>
      <c r="G11" s="65">
        <f>H11+I11+J11</f>
        <v>150000</v>
      </c>
      <c r="H11" s="65">
        <f>H12+H13</f>
        <v>50000</v>
      </c>
      <c r="I11" s="65">
        <f t="shared" ref="I11:J11" si="1">I12+I13</f>
        <v>50000</v>
      </c>
      <c r="J11" s="65">
        <f t="shared" si="1"/>
        <v>50000</v>
      </c>
    </row>
    <row r="12" spans="1:10" x14ac:dyDescent="0.25">
      <c r="A12" s="22" t="s">
        <v>50</v>
      </c>
      <c r="B12" s="20">
        <v>244</v>
      </c>
      <c r="C12" s="55">
        <v>225</v>
      </c>
      <c r="D12" s="20"/>
      <c r="E12" s="20"/>
      <c r="F12" s="54"/>
      <c r="G12" s="64">
        <f>H12+I12+J12</f>
        <v>108000</v>
      </c>
      <c r="H12" s="64">
        <v>36000</v>
      </c>
      <c r="I12" s="66">
        <v>36000</v>
      </c>
      <c r="J12" s="66">
        <v>36000</v>
      </c>
    </row>
    <row r="13" spans="1:10" ht="28.5" customHeight="1" x14ac:dyDescent="0.25">
      <c r="A13" s="22" t="s">
        <v>51</v>
      </c>
      <c r="B13" s="20">
        <v>244</v>
      </c>
      <c r="C13" s="55">
        <v>226</v>
      </c>
      <c r="D13" s="20"/>
      <c r="E13" s="20"/>
      <c r="F13" s="20"/>
      <c r="G13" s="64">
        <f t="shared" ref="G13:G14" si="2">H13+I13+J13</f>
        <v>42000</v>
      </c>
      <c r="H13" s="64">
        <v>14000</v>
      </c>
      <c r="I13" s="66">
        <v>14000</v>
      </c>
      <c r="J13" s="66">
        <v>14000</v>
      </c>
    </row>
    <row r="14" spans="1:10" ht="30.75" customHeight="1" x14ac:dyDescent="0.25">
      <c r="A14" s="22" t="s">
        <v>63</v>
      </c>
      <c r="B14" s="55" t="s">
        <v>41</v>
      </c>
      <c r="C14" s="55" t="s">
        <v>41</v>
      </c>
      <c r="D14" s="25"/>
      <c r="E14" s="25"/>
      <c r="F14" s="39"/>
      <c r="G14" s="64">
        <f t="shared" si="2"/>
        <v>0</v>
      </c>
      <c r="H14" s="69">
        <v>0</v>
      </c>
      <c r="I14" s="66">
        <v>0</v>
      </c>
      <c r="J14" s="66">
        <v>0</v>
      </c>
    </row>
    <row r="17" spans="1:10" ht="66" customHeight="1" x14ac:dyDescent="0.25">
      <c r="A17" s="185" t="s">
        <v>137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9" spans="1:10" ht="14.25" customHeight="1" x14ac:dyDescent="0.25">
      <c r="A19" s="226" t="s">
        <v>38</v>
      </c>
      <c r="B19" s="226" t="s">
        <v>80</v>
      </c>
      <c r="C19" s="226" t="s">
        <v>40</v>
      </c>
      <c r="D19" s="226" t="s">
        <v>61</v>
      </c>
      <c r="E19" s="221" t="s">
        <v>105</v>
      </c>
      <c r="F19" s="222"/>
      <c r="G19" s="231"/>
      <c r="H19" s="230" t="s">
        <v>106</v>
      </c>
      <c r="I19" s="230"/>
      <c r="J19" s="230"/>
    </row>
    <row r="20" spans="1:10" ht="17.25" customHeight="1" x14ac:dyDescent="0.25">
      <c r="A20" s="227"/>
      <c r="B20" s="227"/>
      <c r="C20" s="227"/>
      <c r="D20" s="228"/>
      <c r="E20" s="232"/>
      <c r="F20" s="233"/>
      <c r="G20" s="234"/>
      <c r="H20" s="56" t="s">
        <v>102</v>
      </c>
      <c r="I20" s="56" t="s">
        <v>103</v>
      </c>
      <c r="J20" s="56" t="s">
        <v>104</v>
      </c>
    </row>
    <row r="21" spans="1:10" s="24" customFormat="1" ht="14.25" x14ac:dyDescent="0.25">
      <c r="A21" s="55">
        <v>1</v>
      </c>
      <c r="B21" s="55">
        <v>2</v>
      </c>
      <c r="C21" s="55">
        <v>3</v>
      </c>
      <c r="D21" s="55">
        <v>3</v>
      </c>
      <c r="E21" s="55">
        <v>4</v>
      </c>
      <c r="F21" s="55">
        <v>5</v>
      </c>
      <c r="G21" s="55">
        <v>4</v>
      </c>
      <c r="H21" s="56">
        <v>5</v>
      </c>
      <c r="I21" s="56">
        <v>6</v>
      </c>
      <c r="J21" s="56">
        <v>7</v>
      </c>
    </row>
    <row r="22" spans="1:10" ht="26.25" customHeight="1" x14ac:dyDescent="0.25">
      <c r="A22" s="22" t="s">
        <v>62</v>
      </c>
      <c r="B22" s="22"/>
      <c r="C22" s="55" t="s">
        <v>41</v>
      </c>
      <c r="D22" s="20"/>
      <c r="E22" s="20"/>
      <c r="F22" s="20"/>
      <c r="G22" s="64">
        <f>H22+I22+J22</f>
        <v>0</v>
      </c>
      <c r="H22" s="68">
        <v>0</v>
      </c>
      <c r="I22" s="66">
        <v>0</v>
      </c>
      <c r="J22" s="66">
        <v>0</v>
      </c>
    </row>
    <row r="23" spans="1:10" x14ac:dyDescent="0.25">
      <c r="A23" s="23" t="s">
        <v>64</v>
      </c>
      <c r="B23" s="23"/>
      <c r="C23" s="55" t="s">
        <v>41</v>
      </c>
      <c r="D23" s="20"/>
      <c r="E23" s="20"/>
      <c r="F23" s="20"/>
      <c r="G23" s="63">
        <f>H23+I23+J23</f>
        <v>841000</v>
      </c>
      <c r="H23" s="63">
        <v>345000</v>
      </c>
      <c r="I23" s="67">
        <v>196000</v>
      </c>
      <c r="J23" s="67">
        <v>300000</v>
      </c>
    </row>
    <row r="24" spans="1:10" ht="23.25" customHeight="1" x14ac:dyDescent="0.25">
      <c r="A24" s="23" t="s">
        <v>42</v>
      </c>
      <c r="B24" s="23"/>
      <c r="C24" s="55" t="s">
        <v>41</v>
      </c>
      <c r="D24" s="20"/>
      <c r="E24" s="20"/>
      <c r="F24" s="20"/>
      <c r="G24" s="63">
        <f>H24+I24+J24</f>
        <v>841000</v>
      </c>
      <c r="H24" s="63">
        <f>H25+H29</f>
        <v>345000</v>
      </c>
      <c r="I24" s="63">
        <f t="shared" ref="I24:J24" si="3">I25+I29</f>
        <v>196000</v>
      </c>
      <c r="J24" s="63">
        <f t="shared" si="3"/>
        <v>300000</v>
      </c>
    </row>
    <row r="25" spans="1:10" s="19" customFormat="1" ht="21.75" customHeight="1" x14ac:dyDescent="0.25">
      <c r="A25" s="70" t="s">
        <v>136</v>
      </c>
      <c r="B25" s="42">
        <v>244</v>
      </c>
      <c r="C25" s="42" t="s">
        <v>41</v>
      </c>
      <c r="D25" s="42"/>
      <c r="E25" s="42"/>
      <c r="F25" s="44"/>
      <c r="G25" s="65">
        <f>H25+I25+J25</f>
        <v>800275</v>
      </c>
      <c r="H25" s="65">
        <f>H26+H27</f>
        <v>304275</v>
      </c>
      <c r="I25" s="65">
        <f>I26+I27+I28</f>
        <v>196000</v>
      </c>
      <c r="J25" s="65">
        <f t="shared" ref="J25" si="4">J26+J27</f>
        <v>300000</v>
      </c>
    </row>
    <row r="26" spans="1:10" ht="21" customHeight="1" x14ac:dyDescent="0.25">
      <c r="A26" s="22" t="s">
        <v>51</v>
      </c>
      <c r="B26" s="20">
        <v>244</v>
      </c>
      <c r="C26" s="55">
        <v>226</v>
      </c>
      <c r="D26" s="20"/>
      <c r="E26" s="20"/>
      <c r="F26" s="54"/>
      <c r="G26" s="64">
        <f>H26+I26+J26</f>
        <v>600000</v>
      </c>
      <c r="H26" s="74">
        <v>300000</v>
      </c>
      <c r="I26" s="76">
        <v>50000</v>
      </c>
      <c r="J26" s="66">
        <v>250000</v>
      </c>
    </row>
    <row r="27" spans="1:10" ht="21" customHeight="1" x14ac:dyDescent="0.25">
      <c r="A27" s="22" t="s">
        <v>52</v>
      </c>
      <c r="B27" s="20">
        <v>244</v>
      </c>
      <c r="C27" s="55">
        <v>290</v>
      </c>
      <c r="D27" s="20"/>
      <c r="E27" s="20"/>
      <c r="F27" s="54"/>
      <c r="G27" s="64">
        <f t="shared" ref="G27:G28" si="5">H27+I27+J27</f>
        <v>110275</v>
      </c>
      <c r="H27" s="64">
        <v>4275</v>
      </c>
      <c r="I27" s="64">
        <v>56000</v>
      </c>
      <c r="J27" s="66">
        <v>50000</v>
      </c>
    </row>
    <row r="28" spans="1:10" ht="32.25" customHeight="1" x14ac:dyDescent="0.25">
      <c r="A28" s="22" t="s">
        <v>58</v>
      </c>
      <c r="B28" s="20">
        <v>244</v>
      </c>
      <c r="C28" s="55">
        <v>344</v>
      </c>
      <c r="D28" s="20"/>
      <c r="E28" s="20"/>
      <c r="F28" s="54"/>
      <c r="G28" s="64">
        <f t="shared" si="5"/>
        <v>90000</v>
      </c>
      <c r="H28" s="64">
        <v>0</v>
      </c>
      <c r="I28" s="64">
        <v>90000</v>
      </c>
      <c r="J28" s="66">
        <v>0</v>
      </c>
    </row>
    <row r="29" spans="1:10" x14ac:dyDescent="0.25">
      <c r="A29" s="70" t="s">
        <v>138</v>
      </c>
      <c r="B29" s="42">
        <v>350</v>
      </c>
      <c r="C29" s="42" t="s">
        <v>41</v>
      </c>
      <c r="D29" s="42"/>
      <c r="E29" s="42"/>
      <c r="F29" s="71"/>
      <c r="G29" s="65">
        <f>H29+I29+J29</f>
        <v>40725</v>
      </c>
      <c r="H29" s="65">
        <f>H30</f>
        <v>40725</v>
      </c>
      <c r="I29" s="65">
        <f t="shared" ref="I29:J29" si="6">I30</f>
        <v>0</v>
      </c>
      <c r="J29" s="65">
        <f t="shared" si="6"/>
        <v>0</v>
      </c>
    </row>
    <row r="30" spans="1:10" ht="21" customHeight="1" x14ac:dyDescent="0.25">
      <c r="A30" s="22" t="s">
        <v>52</v>
      </c>
      <c r="B30" s="20">
        <v>350</v>
      </c>
      <c r="C30" s="55">
        <v>290</v>
      </c>
      <c r="D30" s="20"/>
      <c r="E30" s="20"/>
      <c r="F30" s="20"/>
      <c r="G30" s="64">
        <f t="shared" ref="G30:G31" si="7">H30+I30+J30</f>
        <v>40725</v>
      </c>
      <c r="H30" s="64">
        <v>40725</v>
      </c>
      <c r="I30" s="64">
        <v>0</v>
      </c>
      <c r="J30" s="66">
        <v>0</v>
      </c>
    </row>
    <row r="31" spans="1:10" ht="30.75" customHeight="1" x14ac:dyDescent="0.25">
      <c r="A31" s="22" t="s">
        <v>63</v>
      </c>
      <c r="B31" s="55" t="s">
        <v>41</v>
      </c>
      <c r="C31" s="55" t="s">
        <v>41</v>
      </c>
      <c r="D31" s="25"/>
      <c r="E31" s="25"/>
      <c r="F31" s="39"/>
      <c r="G31" s="64">
        <f t="shared" si="7"/>
        <v>0</v>
      </c>
      <c r="H31" s="69">
        <v>0</v>
      </c>
      <c r="I31" s="66">
        <v>0</v>
      </c>
      <c r="J31" s="66">
        <v>0</v>
      </c>
    </row>
  </sheetData>
  <mergeCells count="15">
    <mergeCell ref="A17:J17"/>
    <mergeCell ref="A19:A20"/>
    <mergeCell ref="B19:B20"/>
    <mergeCell ref="C19:C20"/>
    <mergeCell ref="D19:D20"/>
    <mergeCell ref="E19:G20"/>
    <mergeCell ref="H19:J19"/>
    <mergeCell ref="A1:J1"/>
    <mergeCell ref="A3:J3"/>
    <mergeCell ref="A5:A6"/>
    <mergeCell ref="B5:B6"/>
    <mergeCell ref="C5:C6"/>
    <mergeCell ref="D5:D6"/>
    <mergeCell ref="E5:G6"/>
    <mergeCell ref="H5:J5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4" zoomScaleNormal="100" workbookViewId="0">
      <selection activeCell="H15" sqref="H15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4.14062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3" spans="1:10" ht="66" customHeight="1" x14ac:dyDescent="0.25">
      <c r="A3" s="185" t="s">
        <v>139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4.25" customHeight="1" x14ac:dyDescent="0.25">
      <c r="A5" s="226" t="s">
        <v>38</v>
      </c>
      <c r="B5" s="226" t="s">
        <v>80</v>
      </c>
      <c r="C5" s="226" t="s">
        <v>40</v>
      </c>
      <c r="D5" s="226" t="s">
        <v>61</v>
      </c>
      <c r="E5" s="221" t="s">
        <v>105</v>
      </c>
      <c r="F5" s="222"/>
      <c r="G5" s="231"/>
      <c r="H5" s="230" t="s">
        <v>106</v>
      </c>
      <c r="I5" s="230"/>
      <c r="J5" s="230"/>
    </row>
    <row r="6" spans="1:10" ht="17.25" customHeight="1" x14ac:dyDescent="0.25">
      <c r="A6" s="227"/>
      <c r="B6" s="227"/>
      <c r="C6" s="227"/>
      <c r="D6" s="228"/>
      <c r="E6" s="232"/>
      <c r="F6" s="233"/>
      <c r="G6" s="234"/>
      <c r="H6" s="59" t="s">
        <v>102</v>
      </c>
      <c r="I6" s="59" t="s">
        <v>103</v>
      </c>
      <c r="J6" s="59" t="s">
        <v>104</v>
      </c>
    </row>
    <row r="7" spans="1:10" s="24" customFormat="1" ht="14.25" x14ac:dyDescent="0.25">
      <c r="A7" s="58">
        <v>1</v>
      </c>
      <c r="B7" s="58">
        <v>2</v>
      </c>
      <c r="C7" s="58">
        <v>3</v>
      </c>
      <c r="D7" s="58">
        <v>3</v>
      </c>
      <c r="E7" s="58">
        <v>4</v>
      </c>
      <c r="F7" s="58">
        <v>5</v>
      </c>
      <c r="G7" s="58">
        <v>4</v>
      </c>
      <c r="H7" s="59">
        <v>5</v>
      </c>
      <c r="I7" s="59">
        <v>6</v>
      </c>
      <c r="J7" s="59">
        <v>7</v>
      </c>
    </row>
    <row r="8" spans="1:10" ht="26.25" customHeight="1" x14ac:dyDescent="0.25">
      <c r="A8" s="22" t="s">
        <v>62</v>
      </c>
      <c r="B8" s="22"/>
      <c r="C8" s="58" t="s">
        <v>41</v>
      </c>
      <c r="D8" s="20"/>
      <c r="E8" s="20"/>
      <c r="F8" s="20"/>
      <c r="G8" s="64">
        <f t="shared" ref="G8:G17" si="0">H8+I8+J8</f>
        <v>0</v>
      </c>
      <c r="H8" s="68">
        <v>0</v>
      </c>
      <c r="I8" s="66">
        <v>0</v>
      </c>
      <c r="J8" s="66">
        <v>0</v>
      </c>
    </row>
    <row r="9" spans="1:10" x14ac:dyDescent="0.25">
      <c r="A9" s="23" t="s">
        <v>64</v>
      </c>
      <c r="B9" s="23"/>
      <c r="C9" s="58" t="s">
        <v>41</v>
      </c>
      <c r="D9" s="20"/>
      <c r="E9" s="20"/>
      <c r="F9" s="20"/>
      <c r="G9" s="63">
        <f t="shared" si="0"/>
        <v>16136000</v>
      </c>
      <c r="H9" s="63">
        <v>5032000</v>
      </c>
      <c r="I9" s="67">
        <v>5362900</v>
      </c>
      <c r="J9" s="67">
        <v>5741100</v>
      </c>
    </row>
    <row r="10" spans="1:10" ht="23.25" customHeight="1" x14ac:dyDescent="0.25">
      <c r="A10" s="23" t="s">
        <v>42</v>
      </c>
      <c r="B10" s="23"/>
      <c r="C10" s="58" t="s">
        <v>41</v>
      </c>
      <c r="D10" s="20"/>
      <c r="E10" s="20"/>
      <c r="F10" s="20"/>
      <c r="G10" s="63">
        <f t="shared" si="0"/>
        <v>16136000</v>
      </c>
      <c r="H10" s="63">
        <f>H11+H14+H16+H28</f>
        <v>5032000</v>
      </c>
      <c r="I10" s="63">
        <f>I11+I14+I16+I28</f>
        <v>5362900</v>
      </c>
      <c r="J10" s="63">
        <f>J11+J14+J16+J28</f>
        <v>5741100</v>
      </c>
    </row>
    <row r="11" spans="1:10" s="19" customFormat="1" ht="29.25" x14ac:dyDescent="0.25">
      <c r="A11" s="42" t="s">
        <v>83</v>
      </c>
      <c r="B11" s="42">
        <v>110</v>
      </c>
      <c r="C11" s="42" t="s">
        <v>41</v>
      </c>
      <c r="D11" s="42"/>
      <c r="E11" s="65">
        <f t="shared" ref="E11:E13" si="1">F11+G11+H11</f>
        <v>66205000</v>
      </c>
      <c r="F11" s="73">
        <f>SUM(F12:F13)</f>
        <v>33097000</v>
      </c>
      <c r="G11" s="73">
        <f>SUM(G12:G13)</f>
        <v>33097000</v>
      </c>
      <c r="H11" s="73">
        <f>SUM(H12:H13)</f>
        <v>11000</v>
      </c>
      <c r="I11" s="73">
        <f t="shared" ref="I11:J11" si="2">SUM(I12:I13)</f>
        <v>0</v>
      </c>
      <c r="J11" s="73">
        <f t="shared" si="2"/>
        <v>0</v>
      </c>
    </row>
    <row r="12" spans="1:10" x14ac:dyDescent="0.25">
      <c r="A12" s="22" t="s">
        <v>51</v>
      </c>
      <c r="B12" s="159">
        <v>111</v>
      </c>
      <c r="C12" s="159">
        <v>226</v>
      </c>
      <c r="D12" s="20"/>
      <c r="E12" s="64">
        <f t="shared" si="1"/>
        <v>50926000</v>
      </c>
      <c r="F12" s="66">
        <v>25459000</v>
      </c>
      <c r="G12" s="66">
        <v>25459000</v>
      </c>
      <c r="H12" s="66">
        <v>8000</v>
      </c>
      <c r="I12" s="69">
        <v>0</v>
      </c>
      <c r="J12" s="69">
        <v>0</v>
      </c>
    </row>
    <row r="13" spans="1:10" ht="21.75" customHeight="1" x14ac:dyDescent="0.25">
      <c r="A13" s="22" t="s">
        <v>51</v>
      </c>
      <c r="B13" s="159">
        <v>119</v>
      </c>
      <c r="C13" s="159">
        <v>226</v>
      </c>
      <c r="D13" s="20"/>
      <c r="E13" s="64">
        <f t="shared" si="1"/>
        <v>15279000</v>
      </c>
      <c r="F13" s="66">
        <v>7638000</v>
      </c>
      <c r="G13" s="66">
        <v>7638000</v>
      </c>
      <c r="H13" s="66">
        <v>3000</v>
      </c>
      <c r="I13" s="69">
        <v>0</v>
      </c>
      <c r="J13" s="69">
        <v>0</v>
      </c>
    </row>
    <row r="14" spans="1:10" ht="61.5" customHeight="1" x14ac:dyDescent="0.25">
      <c r="A14" s="42" t="s">
        <v>141</v>
      </c>
      <c r="B14" s="42">
        <v>113</v>
      </c>
      <c r="C14" s="42" t="s">
        <v>41</v>
      </c>
      <c r="D14" s="43"/>
      <c r="E14" s="43"/>
      <c r="F14" s="43"/>
      <c r="G14" s="65">
        <f t="shared" si="0"/>
        <v>1273650</v>
      </c>
      <c r="H14" s="65">
        <f>H15</f>
        <v>1273650</v>
      </c>
      <c r="I14" s="65">
        <f>I15</f>
        <v>0</v>
      </c>
      <c r="J14" s="65">
        <f>J15</f>
        <v>0</v>
      </c>
    </row>
    <row r="15" spans="1:10" ht="23.25" customHeight="1" x14ac:dyDescent="0.25">
      <c r="A15" s="23" t="s">
        <v>52</v>
      </c>
      <c r="B15" s="58">
        <v>113</v>
      </c>
      <c r="C15" s="58">
        <v>290</v>
      </c>
      <c r="D15" s="20"/>
      <c r="E15" s="20"/>
      <c r="F15" s="20"/>
      <c r="G15" s="63">
        <f t="shared" si="0"/>
        <v>1273650</v>
      </c>
      <c r="H15" s="63">
        <f>2989680-1716030</f>
        <v>1273650</v>
      </c>
      <c r="I15" s="63">
        <v>0</v>
      </c>
      <c r="J15" s="63">
        <v>0</v>
      </c>
    </row>
    <row r="16" spans="1:10" s="19" customFormat="1" ht="57.75" x14ac:dyDescent="0.25">
      <c r="A16" s="42" t="s">
        <v>82</v>
      </c>
      <c r="B16" s="42">
        <v>244</v>
      </c>
      <c r="C16" s="42" t="s">
        <v>41</v>
      </c>
      <c r="D16" s="43"/>
      <c r="E16" s="43"/>
      <c r="F16" s="51"/>
      <c r="G16" s="73">
        <f t="shared" si="0"/>
        <v>12416970</v>
      </c>
      <c r="H16" s="73">
        <f>H17+H20+H21</f>
        <v>1312970</v>
      </c>
      <c r="I16" s="73">
        <f>I17+I20+I21</f>
        <v>5362900</v>
      </c>
      <c r="J16" s="73">
        <f>J17+J20+J21</f>
        <v>5741100</v>
      </c>
    </row>
    <row r="17" spans="1:10" x14ac:dyDescent="0.25">
      <c r="A17" s="23" t="s">
        <v>65</v>
      </c>
      <c r="B17" s="58">
        <v>244</v>
      </c>
      <c r="C17" s="58">
        <v>220</v>
      </c>
      <c r="D17" s="20"/>
      <c r="E17" s="20"/>
      <c r="F17" s="10"/>
      <c r="G17" s="66">
        <f t="shared" si="0"/>
        <v>2318400</v>
      </c>
      <c r="H17" s="66">
        <f>H18+H19</f>
        <v>748000</v>
      </c>
      <c r="I17" s="66">
        <f>I18+I19</f>
        <v>763700</v>
      </c>
      <c r="J17" s="66">
        <f>J18+J19</f>
        <v>806700</v>
      </c>
    </row>
    <row r="18" spans="1:10" x14ac:dyDescent="0.25">
      <c r="A18" s="22" t="s">
        <v>50</v>
      </c>
      <c r="B18" s="58">
        <v>244</v>
      </c>
      <c r="C18" s="58">
        <v>225</v>
      </c>
      <c r="D18" s="20"/>
      <c r="E18" s="20"/>
      <c r="F18" s="10"/>
      <c r="G18" s="66">
        <f t="shared" ref="G18:G27" si="3">H18+I18+J18</f>
        <v>0</v>
      </c>
      <c r="H18" s="66">
        <v>0</v>
      </c>
      <c r="I18" s="66">
        <v>0</v>
      </c>
      <c r="J18" s="66">
        <v>0</v>
      </c>
    </row>
    <row r="19" spans="1:10" x14ac:dyDescent="0.25">
      <c r="A19" s="22" t="s">
        <v>51</v>
      </c>
      <c r="B19" s="58">
        <v>244</v>
      </c>
      <c r="C19" s="58">
        <v>226</v>
      </c>
      <c r="D19" s="20"/>
      <c r="E19" s="20"/>
      <c r="F19" s="10"/>
      <c r="G19" s="66">
        <f t="shared" si="3"/>
        <v>2318400</v>
      </c>
      <c r="H19" s="66">
        <f>759000-11000</f>
        <v>748000</v>
      </c>
      <c r="I19" s="66">
        <v>763700</v>
      </c>
      <c r="J19" s="66">
        <v>806700</v>
      </c>
    </row>
    <row r="20" spans="1:10" s="19" customFormat="1" x14ac:dyDescent="0.25">
      <c r="A20" s="23" t="s">
        <v>52</v>
      </c>
      <c r="B20" s="58">
        <v>244</v>
      </c>
      <c r="C20" s="58">
        <v>290</v>
      </c>
      <c r="D20" s="58"/>
      <c r="E20" s="58"/>
      <c r="F20" s="58"/>
      <c r="G20" s="67">
        <f t="shared" si="3"/>
        <v>8978610</v>
      </c>
      <c r="H20" s="63">
        <f>26900+122750+42000</f>
        <v>191650</v>
      </c>
      <c r="I20" s="63">
        <v>4225880</v>
      </c>
      <c r="J20" s="63">
        <v>4561080</v>
      </c>
    </row>
    <row r="21" spans="1:10" x14ac:dyDescent="0.25">
      <c r="A21" s="23" t="s">
        <v>53</v>
      </c>
      <c r="B21" s="58">
        <v>244</v>
      </c>
      <c r="C21" s="58">
        <v>300</v>
      </c>
      <c r="D21" s="25"/>
      <c r="E21" s="25"/>
      <c r="F21" s="10"/>
      <c r="G21" s="67">
        <f t="shared" si="3"/>
        <v>1119960</v>
      </c>
      <c r="H21" s="67">
        <f>H22+H23</f>
        <v>373320</v>
      </c>
      <c r="I21" s="67">
        <f>I22+I23</f>
        <v>373320</v>
      </c>
      <c r="J21" s="67">
        <f>J22+J23</f>
        <v>373320</v>
      </c>
    </row>
    <row r="22" spans="1:10" x14ac:dyDescent="0.25">
      <c r="A22" s="22" t="s">
        <v>54</v>
      </c>
      <c r="B22" s="58">
        <v>244</v>
      </c>
      <c r="C22" s="58">
        <v>310</v>
      </c>
      <c r="D22" s="25"/>
      <c r="E22" s="25"/>
      <c r="F22" s="10"/>
      <c r="G22" s="66">
        <f t="shared" si="3"/>
        <v>0</v>
      </c>
      <c r="H22" s="66">
        <v>0</v>
      </c>
      <c r="I22" s="66">
        <v>0</v>
      </c>
      <c r="J22" s="66">
        <v>0</v>
      </c>
    </row>
    <row r="23" spans="1:10" ht="45" x14ac:dyDescent="0.25">
      <c r="A23" s="22" t="s">
        <v>55</v>
      </c>
      <c r="B23" s="58">
        <v>244</v>
      </c>
      <c r="C23" s="58">
        <v>340</v>
      </c>
      <c r="D23" s="25"/>
      <c r="E23" s="25"/>
      <c r="F23" s="10"/>
      <c r="G23" s="67">
        <f t="shared" si="3"/>
        <v>1119960</v>
      </c>
      <c r="H23" s="67">
        <f>SUM(H24:H27)</f>
        <v>373320</v>
      </c>
      <c r="I23" s="67">
        <f>SUM(I24:I27)</f>
        <v>373320</v>
      </c>
      <c r="J23" s="67">
        <f>SUM(J24:J27)</f>
        <v>373320</v>
      </c>
    </row>
    <row r="24" spans="1:10" ht="30" x14ac:dyDescent="0.25">
      <c r="A24" s="22" t="s">
        <v>59</v>
      </c>
      <c r="B24" s="58">
        <v>244</v>
      </c>
      <c r="C24" s="58">
        <v>341</v>
      </c>
      <c r="D24" s="25"/>
      <c r="E24" s="25"/>
      <c r="F24" s="10"/>
      <c r="G24" s="66">
        <f t="shared" si="3"/>
        <v>0</v>
      </c>
      <c r="H24" s="66">
        <v>0</v>
      </c>
      <c r="I24" s="66">
        <v>0</v>
      </c>
      <c r="J24" s="66">
        <v>0</v>
      </c>
    </row>
    <row r="25" spans="1:10" x14ac:dyDescent="0.25">
      <c r="A25" s="22" t="s">
        <v>56</v>
      </c>
      <c r="B25" s="58">
        <v>244</v>
      </c>
      <c r="C25" s="58">
        <v>342</v>
      </c>
      <c r="D25" s="25"/>
      <c r="E25" s="25"/>
      <c r="F25" s="10"/>
      <c r="G25" s="66">
        <f t="shared" si="3"/>
        <v>18900</v>
      </c>
      <c r="H25" s="66">
        <v>6300</v>
      </c>
      <c r="I25" s="66">
        <v>6300</v>
      </c>
      <c r="J25" s="66">
        <v>6300</v>
      </c>
    </row>
    <row r="26" spans="1:10" x14ac:dyDescent="0.25">
      <c r="A26" s="22" t="s">
        <v>57</v>
      </c>
      <c r="B26" s="58">
        <v>244</v>
      </c>
      <c r="C26" s="58">
        <v>343</v>
      </c>
      <c r="D26" s="25"/>
      <c r="E26" s="25"/>
      <c r="F26" s="10"/>
      <c r="G26" s="66">
        <f t="shared" si="3"/>
        <v>0</v>
      </c>
      <c r="H26" s="66">
        <v>0</v>
      </c>
      <c r="I26" s="66">
        <v>0</v>
      </c>
      <c r="J26" s="66">
        <v>0</v>
      </c>
    </row>
    <row r="27" spans="1:10" ht="30" x14ac:dyDescent="0.25">
      <c r="A27" s="22" t="s">
        <v>58</v>
      </c>
      <c r="B27" s="58">
        <v>244</v>
      </c>
      <c r="C27" s="58">
        <v>344</v>
      </c>
      <c r="D27" s="25"/>
      <c r="E27" s="25"/>
      <c r="F27" s="10"/>
      <c r="G27" s="66">
        <f t="shared" si="3"/>
        <v>1101060</v>
      </c>
      <c r="H27" s="66">
        <v>367020</v>
      </c>
      <c r="I27" s="66">
        <v>367020</v>
      </c>
      <c r="J27" s="66">
        <v>367020</v>
      </c>
    </row>
    <row r="28" spans="1:10" x14ac:dyDescent="0.25">
      <c r="A28" s="70" t="s">
        <v>138</v>
      </c>
      <c r="B28" s="42">
        <v>350</v>
      </c>
      <c r="C28" s="42" t="s">
        <v>41</v>
      </c>
      <c r="D28" s="42"/>
      <c r="E28" s="42"/>
      <c r="F28" s="71"/>
      <c r="G28" s="65">
        <f>H28+I28+J28</f>
        <v>2434380</v>
      </c>
      <c r="H28" s="65">
        <f>H29</f>
        <v>2434380</v>
      </c>
      <c r="I28" s="65">
        <f>I29</f>
        <v>0</v>
      </c>
      <c r="J28" s="65">
        <f>J29</f>
        <v>0</v>
      </c>
    </row>
    <row r="29" spans="1:10" ht="21" customHeight="1" x14ac:dyDescent="0.25">
      <c r="A29" s="22" t="s">
        <v>52</v>
      </c>
      <c r="B29" s="20">
        <v>350</v>
      </c>
      <c r="C29" s="58">
        <v>290</v>
      </c>
      <c r="D29" s="20"/>
      <c r="E29" s="20"/>
      <c r="F29" s="20"/>
      <c r="G29" s="64">
        <f>H29+I29+J29</f>
        <v>2434380</v>
      </c>
      <c r="H29" s="64">
        <f>883100+1593280-42000</f>
        <v>2434380</v>
      </c>
      <c r="I29" s="64">
        <v>0</v>
      </c>
      <c r="J29" s="64">
        <v>0</v>
      </c>
    </row>
    <row r="30" spans="1:10" ht="30.75" customHeight="1" x14ac:dyDescent="0.25">
      <c r="A30" s="22" t="s">
        <v>63</v>
      </c>
      <c r="B30" s="58" t="s">
        <v>41</v>
      </c>
      <c r="C30" s="58" t="s">
        <v>41</v>
      </c>
      <c r="D30" s="25"/>
      <c r="E30" s="25"/>
      <c r="F30" s="39"/>
      <c r="G30" s="64">
        <f t="shared" ref="G30" si="4">H30+I30+J30</f>
        <v>0</v>
      </c>
      <c r="H30" s="66">
        <v>0</v>
      </c>
      <c r="I30" s="66">
        <v>0</v>
      </c>
      <c r="J30" s="66">
        <v>0</v>
      </c>
    </row>
  </sheetData>
  <mergeCells count="8">
    <mergeCell ref="A1:J1"/>
    <mergeCell ref="A3:J3"/>
    <mergeCell ref="A5:A6"/>
    <mergeCell ref="B5:B6"/>
    <mergeCell ref="C5:C6"/>
    <mergeCell ref="D5:D6"/>
    <mergeCell ref="E5:G6"/>
    <mergeCell ref="H5:J5"/>
  </mergeCells>
  <pageMargins left="1.1811023622047245" right="0.39370078740157483" top="0.39370078740157483" bottom="0.39370078740157483" header="0.51181102362204722" footer="0.51181102362204722"/>
  <pageSetup paperSize="9" scale="72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J10" sqref="J10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3" spans="1:10" ht="58.5" customHeight="1" x14ac:dyDescent="0.25">
      <c r="A3" s="185" t="s">
        <v>140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4.25" customHeight="1" x14ac:dyDescent="0.25">
      <c r="A5" s="226" t="s">
        <v>38</v>
      </c>
      <c r="B5" s="226" t="s">
        <v>80</v>
      </c>
      <c r="C5" s="226" t="s">
        <v>40</v>
      </c>
      <c r="D5" s="226" t="s">
        <v>61</v>
      </c>
      <c r="E5" s="221" t="s">
        <v>105</v>
      </c>
      <c r="F5" s="222"/>
      <c r="G5" s="231"/>
      <c r="H5" s="230" t="s">
        <v>106</v>
      </c>
      <c r="I5" s="230"/>
      <c r="J5" s="230"/>
    </row>
    <row r="6" spans="1:10" ht="17.25" customHeight="1" x14ac:dyDescent="0.25">
      <c r="A6" s="227"/>
      <c r="B6" s="227"/>
      <c r="C6" s="227"/>
      <c r="D6" s="228"/>
      <c r="E6" s="232"/>
      <c r="F6" s="233"/>
      <c r="G6" s="234"/>
      <c r="H6" s="59" t="s">
        <v>102</v>
      </c>
      <c r="I6" s="59" t="s">
        <v>103</v>
      </c>
      <c r="J6" s="59" t="s">
        <v>104</v>
      </c>
    </row>
    <row r="7" spans="1:10" s="24" customFormat="1" ht="14.25" x14ac:dyDescent="0.25">
      <c r="A7" s="58">
        <v>1</v>
      </c>
      <c r="B7" s="58">
        <v>2</v>
      </c>
      <c r="C7" s="58">
        <v>3</v>
      </c>
      <c r="D7" s="58">
        <v>3</v>
      </c>
      <c r="E7" s="58">
        <v>4</v>
      </c>
      <c r="F7" s="58">
        <v>5</v>
      </c>
      <c r="G7" s="58">
        <v>4</v>
      </c>
      <c r="H7" s="59">
        <v>5</v>
      </c>
      <c r="I7" s="59">
        <v>6</v>
      </c>
      <c r="J7" s="59">
        <v>7</v>
      </c>
    </row>
    <row r="8" spans="1:10" ht="26.25" customHeight="1" x14ac:dyDescent="0.25">
      <c r="A8" s="22" t="s">
        <v>62</v>
      </c>
      <c r="B8" s="22"/>
      <c r="C8" s="58" t="s">
        <v>41</v>
      </c>
      <c r="D8" s="20"/>
      <c r="E8" s="20"/>
      <c r="F8" s="20"/>
      <c r="G8" s="64">
        <f>H8+I8+J8</f>
        <v>0</v>
      </c>
      <c r="H8" s="68">
        <v>0</v>
      </c>
      <c r="I8" s="66">
        <v>0</v>
      </c>
      <c r="J8" s="66">
        <v>0</v>
      </c>
    </row>
    <row r="9" spans="1:10" x14ac:dyDescent="0.25">
      <c r="A9" s="23" t="s">
        <v>64</v>
      </c>
      <c r="B9" s="23"/>
      <c r="C9" s="58" t="s">
        <v>41</v>
      </c>
      <c r="D9" s="20"/>
      <c r="E9" s="20"/>
      <c r="F9" s="20"/>
      <c r="G9" s="63">
        <f>H9+I9+J9</f>
        <v>1130000</v>
      </c>
      <c r="H9" s="63">
        <f>170000+150000</f>
        <v>320000</v>
      </c>
      <c r="I9" s="67">
        <f>150000+150000</f>
        <v>300000</v>
      </c>
      <c r="J9" s="67">
        <f>360000+150000</f>
        <v>510000</v>
      </c>
    </row>
    <row r="10" spans="1:10" ht="23.25" customHeight="1" x14ac:dyDescent="0.25">
      <c r="A10" s="23" t="s">
        <v>42</v>
      </c>
      <c r="B10" s="23"/>
      <c r="C10" s="58" t="s">
        <v>41</v>
      </c>
      <c r="D10" s="20"/>
      <c r="E10" s="20"/>
      <c r="F10" s="20"/>
      <c r="G10" s="63">
        <f>H10+I10+J10</f>
        <v>1130000</v>
      </c>
      <c r="H10" s="63">
        <f>H11+H15</f>
        <v>320000</v>
      </c>
      <c r="I10" s="63">
        <f>I11+I15</f>
        <v>300000</v>
      </c>
      <c r="J10" s="63">
        <f>J11+J15</f>
        <v>510000</v>
      </c>
    </row>
    <row r="11" spans="1:10" s="19" customFormat="1" ht="21.75" customHeight="1" x14ac:dyDescent="0.25">
      <c r="A11" s="70" t="s">
        <v>136</v>
      </c>
      <c r="B11" s="42">
        <v>244</v>
      </c>
      <c r="C11" s="42" t="s">
        <v>41</v>
      </c>
      <c r="D11" s="42"/>
      <c r="E11" s="42"/>
      <c r="F11" s="44"/>
      <c r="G11" s="65">
        <f>H11+I11+J11</f>
        <v>641940</v>
      </c>
      <c r="H11" s="65">
        <f>H12+H13+H14</f>
        <v>51940</v>
      </c>
      <c r="I11" s="65">
        <f>I12+I13+I14</f>
        <v>190000</v>
      </c>
      <c r="J11" s="65">
        <f>J12+J13+J14</f>
        <v>400000</v>
      </c>
    </row>
    <row r="12" spans="1:10" ht="21" customHeight="1" x14ac:dyDescent="0.25">
      <c r="A12" s="22" t="s">
        <v>51</v>
      </c>
      <c r="B12" s="20">
        <v>244</v>
      </c>
      <c r="C12" s="58">
        <v>226</v>
      </c>
      <c r="D12" s="20"/>
      <c r="E12" s="20"/>
      <c r="F12" s="57"/>
      <c r="G12" s="64">
        <f>H12+I12+J12</f>
        <v>78000</v>
      </c>
      <c r="H12" s="74">
        <v>26000</v>
      </c>
      <c r="I12" s="76">
        <v>26000</v>
      </c>
      <c r="J12" s="66">
        <v>26000</v>
      </c>
    </row>
    <row r="13" spans="1:10" ht="21" customHeight="1" x14ac:dyDescent="0.25">
      <c r="A13" s="22" t="s">
        <v>52</v>
      </c>
      <c r="B13" s="20">
        <v>244</v>
      </c>
      <c r="C13" s="58">
        <v>290</v>
      </c>
      <c r="D13" s="20"/>
      <c r="E13" s="20"/>
      <c r="F13" s="57"/>
      <c r="G13" s="64">
        <f t="shared" ref="G13:G14" si="0">H13+I13+J13</f>
        <v>347140</v>
      </c>
      <c r="H13" s="64">
        <f>11940+8400</f>
        <v>20340</v>
      </c>
      <c r="I13" s="64">
        <f>150000+8400</f>
        <v>158400</v>
      </c>
      <c r="J13" s="66">
        <f>160000+8400</f>
        <v>168400</v>
      </c>
    </row>
    <row r="14" spans="1:10" ht="32.25" customHeight="1" x14ac:dyDescent="0.25">
      <c r="A14" s="22" t="s">
        <v>58</v>
      </c>
      <c r="B14" s="20">
        <v>244</v>
      </c>
      <c r="C14" s="58">
        <v>344</v>
      </c>
      <c r="D14" s="20"/>
      <c r="E14" s="20"/>
      <c r="F14" s="57"/>
      <c r="G14" s="64">
        <f t="shared" si="0"/>
        <v>216800</v>
      </c>
      <c r="H14" s="64">
        <v>5600</v>
      </c>
      <c r="I14" s="64">
        <v>5600</v>
      </c>
      <c r="J14" s="66">
        <f>200000+5600</f>
        <v>205600</v>
      </c>
    </row>
    <row r="15" spans="1:10" x14ac:dyDescent="0.25">
      <c r="A15" s="70" t="s">
        <v>138</v>
      </c>
      <c r="B15" s="42">
        <v>350</v>
      </c>
      <c r="C15" s="42" t="s">
        <v>41</v>
      </c>
      <c r="D15" s="42"/>
      <c r="E15" s="42"/>
      <c r="F15" s="71"/>
      <c r="G15" s="65">
        <f>H15+I15+J15</f>
        <v>488060</v>
      </c>
      <c r="H15" s="65">
        <f>H16</f>
        <v>268060</v>
      </c>
      <c r="I15" s="65">
        <f>I16</f>
        <v>110000</v>
      </c>
      <c r="J15" s="65">
        <f>J16</f>
        <v>110000</v>
      </c>
    </row>
    <row r="16" spans="1:10" ht="21" customHeight="1" x14ac:dyDescent="0.25">
      <c r="A16" s="22" t="s">
        <v>52</v>
      </c>
      <c r="B16" s="20">
        <v>350</v>
      </c>
      <c r="C16" s="58">
        <v>290</v>
      </c>
      <c r="D16" s="20"/>
      <c r="E16" s="20"/>
      <c r="F16" s="20"/>
      <c r="G16" s="75">
        <f>H16+I16+J16</f>
        <v>488060</v>
      </c>
      <c r="H16" s="64">
        <f>158060+110000</f>
        <v>268060</v>
      </c>
      <c r="I16" s="64">
        <v>110000</v>
      </c>
      <c r="J16" s="66">
        <v>110000</v>
      </c>
    </row>
    <row r="17" spans="1:10" ht="30.75" customHeight="1" x14ac:dyDescent="0.25">
      <c r="A17" s="22" t="s">
        <v>63</v>
      </c>
      <c r="B17" s="58" t="s">
        <v>41</v>
      </c>
      <c r="C17" s="58" t="s">
        <v>41</v>
      </c>
      <c r="D17" s="25"/>
      <c r="E17" s="25"/>
      <c r="F17" s="39"/>
      <c r="G17" s="64">
        <f t="shared" ref="G17" si="1">H17+I17+J17</f>
        <v>0</v>
      </c>
      <c r="H17" s="69">
        <v>0</v>
      </c>
      <c r="I17" s="66">
        <v>0</v>
      </c>
      <c r="J17" s="66">
        <v>0</v>
      </c>
    </row>
    <row r="20" spans="1:10" ht="58.5" customHeight="1" x14ac:dyDescent="0.25">
      <c r="A20" s="185" t="s">
        <v>145</v>
      </c>
      <c r="B20" s="185"/>
      <c r="C20" s="185"/>
      <c r="D20" s="185"/>
      <c r="E20" s="185"/>
      <c r="F20" s="185"/>
      <c r="G20" s="185"/>
      <c r="H20" s="185"/>
      <c r="I20" s="185"/>
      <c r="J20" s="185"/>
    </row>
    <row r="22" spans="1:10" ht="14.25" customHeight="1" x14ac:dyDescent="0.25">
      <c r="A22" s="226" t="s">
        <v>38</v>
      </c>
      <c r="B22" s="226" t="s">
        <v>80</v>
      </c>
      <c r="C22" s="226" t="s">
        <v>40</v>
      </c>
      <c r="D22" s="226" t="s">
        <v>61</v>
      </c>
      <c r="E22" s="221" t="s">
        <v>105</v>
      </c>
      <c r="F22" s="222"/>
      <c r="G22" s="231"/>
      <c r="H22" s="230" t="s">
        <v>106</v>
      </c>
      <c r="I22" s="230"/>
      <c r="J22" s="230"/>
    </row>
    <row r="23" spans="1:10" ht="17.25" customHeight="1" x14ac:dyDescent="0.25">
      <c r="A23" s="227"/>
      <c r="B23" s="227"/>
      <c r="C23" s="227"/>
      <c r="D23" s="228"/>
      <c r="E23" s="232"/>
      <c r="F23" s="233"/>
      <c r="G23" s="234"/>
      <c r="H23" s="59" t="s">
        <v>102</v>
      </c>
      <c r="I23" s="59" t="s">
        <v>103</v>
      </c>
      <c r="J23" s="59" t="s">
        <v>104</v>
      </c>
    </row>
    <row r="24" spans="1:10" s="24" customFormat="1" ht="14.25" x14ac:dyDescent="0.25">
      <c r="A24" s="58">
        <v>1</v>
      </c>
      <c r="B24" s="58">
        <v>2</v>
      </c>
      <c r="C24" s="58">
        <v>3</v>
      </c>
      <c r="D24" s="58">
        <v>3</v>
      </c>
      <c r="E24" s="58">
        <v>4</v>
      </c>
      <c r="F24" s="58">
        <v>5</v>
      </c>
      <c r="G24" s="58">
        <v>4</v>
      </c>
      <c r="H24" s="59">
        <v>5</v>
      </c>
      <c r="I24" s="59">
        <v>6</v>
      </c>
      <c r="J24" s="59">
        <v>7</v>
      </c>
    </row>
    <row r="25" spans="1:10" ht="26.25" customHeight="1" x14ac:dyDescent="0.25">
      <c r="A25" s="22" t="s">
        <v>62</v>
      </c>
      <c r="B25" s="22"/>
      <c r="C25" s="58" t="s">
        <v>41</v>
      </c>
      <c r="D25" s="20"/>
      <c r="E25" s="20"/>
      <c r="F25" s="20"/>
      <c r="G25" s="64">
        <f>H25+I25+J25</f>
        <v>0</v>
      </c>
      <c r="H25" s="68">
        <v>0</v>
      </c>
      <c r="I25" s="66">
        <v>0</v>
      </c>
      <c r="J25" s="66">
        <v>0</v>
      </c>
    </row>
    <row r="26" spans="1:10" x14ac:dyDescent="0.25">
      <c r="A26" s="23" t="s">
        <v>64</v>
      </c>
      <c r="B26" s="23"/>
      <c r="C26" s="58" t="s">
        <v>41</v>
      </c>
      <c r="D26" s="20"/>
      <c r="E26" s="20"/>
      <c r="F26" s="20"/>
      <c r="G26" s="79">
        <f>H26+I26+J26</f>
        <v>1855000</v>
      </c>
      <c r="H26" s="79">
        <v>685000</v>
      </c>
      <c r="I26" s="80">
        <v>585000</v>
      </c>
      <c r="J26" s="80">
        <v>585000</v>
      </c>
    </row>
    <row r="27" spans="1:10" ht="23.25" customHeight="1" x14ac:dyDescent="0.25">
      <c r="A27" s="23" t="s">
        <v>42</v>
      </c>
      <c r="B27" s="23"/>
      <c r="C27" s="58" t="s">
        <v>41</v>
      </c>
      <c r="D27" s="20"/>
      <c r="E27" s="20"/>
      <c r="F27" s="20"/>
      <c r="G27" s="63">
        <f>H27+I27+J27</f>
        <v>1855000</v>
      </c>
      <c r="H27" s="63">
        <f>H28+H32</f>
        <v>685000</v>
      </c>
      <c r="I27" s="63">
        <f>I28+I32</f>
        <v>585000</v>
      </c>
      <c r="J27" s="63">
        <f>J28+J32</f>
        <v>585000</v>
      </c>
    </row>
    <row r="28" spans="1:10" s="19" customFormat="1" ht="21.75" customHeight="1" x14ac:dyDescent="0.25">
      <c r="A28" s="70" t="s">
        <v>136</v>
      </c>
      <c r="B28" s="42">
        <v>244</v>
      </c>
      <c r="C28" s="42" t="s">
        <v>41</v>
      </c>
      <c r="D28" s="42"/>
      <c r="E28" s="42"/>
      <c r="F28" s="44"/>
      <c r="G28" s="65">
        <f>H28+I28+J28</f>
        <v>1755000</v>
      </c>
      <c r="H28" s="65">
        <f>H29+H30+H31</f>
        <v>585000</v>
      </c>
      <c r="I28" s="65">
        <f>I29+I30+I31</f>
        <v>585000</v>
      </c>
      <c r="J28" s="65">
        <f>J29+J30+J31</f>
        <v>585000</v>
      </c>
    </row>
    <row r="29" spans="1:10" ht="21" customHeight="1" x14ac:dyDescent="0.25">
      <c r="A29" s="22" t="s">
        <v>51</v>
      </c>
      <c r="B29" s="20">
        <v>244</v>
      </c>
      <c r="C29" s="58">
        <v>226</v>
      </c>
      <c r="D29" s="20"/>
      <c r="E29" s="20"/>
      <c r="F29" s="57"/>
      <c r="G29" s="74">
        <f>H29+I29+J29</f>
        <v>1200000</v>
      </c>
      <c r="H29" s="74">
        <v>400000</v>
      </c>
      <c r="I29" s="76">
        <v>500000</v>
      </c>
      <c r="J29" s="76">
        <v>300000</v>
      </c>
    </row>
    <row r="30" spans="1:10" ht="21" customHeight="1" x14ac:dyDescent="0.25">
      <c r="A30" s="22" t="s">
        <v>52</v>
      </c>
      <c r="B30" s="20">
        <v>244</v>
      </c>
      <c r="C30" s="58">
        <v>290</v>
      </c>
      <c r="D30" s="20"/>
      <c r="E30" s="20"/>
      <c r="F30" s="57"/>
      <c r="G30" s="74">
        <f t="shared" ref="G30:G31" si="2">H30+I30+J30</f>
        <v>250000</v>
      </c>
      <c r="H30" s="74">
        <v>50000</v>
      </c>
      <c r="I30" s="74">
        <v>50000</v>
      </c>
      <c r="J30" s="76">
        <v>150000</v>
      </c>
    </row>
    <row r="31" spans="1:10" ht="32.25" customHeight="1" x14ac:dyDescent="0.25">
      <c r="A31" s="22" t="s">
        <v>58</v>
      </c>
      <c r="B31" s="20">
        <v>244</v>
      </c>
      <c r="C31" s="58">
        <v>344</v>
      </c>
      <c r="D31" s="20"/>
      <c r="E31" s="20"/>
      <c r="F31" s="57"/>
      <c r="G31" s="74">
        <f t="shared" si="2"/>
        <v>305000</v>
      </c>
      <c r="H31" s="74">
        <v>135000</v>
      </c>
      <c r="I31" s="74">
        <v>35000</v>
      </c>
      <c r="J31" s="76">
        <v>135000</v>
      </c>
    </row>
    <row r="32" spans="1:10" x14ac:dyDescent="0.25">
      <c r="A32" s="70" t="s">
        <v>138</v>
      </c>
      <c r="B32" s="42">
        <v>350</v>
      </c>
      <c r="C32" s="42" t="s">
        <v>41</v>
      </c>
      <c r="D32" s="42"/>
      <c r="E32" s="42"/>
      <c r="F32" s="71"/>
      <c r="G32" s="77">
        <f>H32+I32+J32</f>
        <v>100000</v>
      </c>
      <c r="H32" s="77">
        <f>H33</f>
        <v>100000</v>
      </c>
      <c r="I32" s="77">
        <f>I33</f>
        <v>0</v>
      </c>
      <c r="J32" s="77">
        <f>J33</f>
        <v>0</v>
      </c>
    </row>
    <row r="33" spans="1:10" ht="21" customHeight="1" x14ac:dyDescent="0.25">
      <c r="A33" s="22" t="s">
        <v>52</v>
      </c>
      <c r="B33" s="20">
        <v>350</v>
      </c>
      <c r="C33" s="58">
        <v>290</v>
      </c>
      <c r="D33" s="20"/>
      <c r="E33" s="20"/>
      <c r="F33" s="20"/>
      <c r="G33" s="74">
        <f>H33+I33+J33</f>
        <v>100000</v>
      </c>
      <c r="H33" s="74">
        <v>100000</v>
      </c>
      <c r="I33" s="74">
        <v>0</v>
      </c>
      <c r="J33" s="76">
        <v>0</v>
      </c>
    </row>
    <row r="34" spans="1:10" ht="30.75" customHeight="1" x14ac:dyDescent="0.25">
      <c r="A34" s="22" t="s">
        <v>63</v>
      </c>
      <c r="B34" s="58" t="s">
        <v>41</v>
      </c>
      <c r="C34" s="58" t="s">
        <v>41</v>
      </c>
      <c r="D34" s="25"/>
      <c r="E34" s="25"/>
      <c r="F34" s="39"/>
      <c r="G34" s="74">
        <f t="shared" ref="G34" si="3">H34+I34+J34</f>
        <v>0</v>
      </c>
      <c r="H34" s="78">
        <v>0</v>
      </c>
      <c r="I34" s="76">
        <v>0</v>
      </c>
      <c r="J34" s="76">
        <v>0</v>
      </c>
    </row>
  </sheetData>
  <mergeCells count="15">
    <mergeCell ref="A1:J1"/>
    <mergeCell ref="A3:J3"/>
    <mergeCell ref="A5:A6"/>
    <mergeCell ref="B5:B6"/>
    <mergeCell ref="C5:C6"/>
    <mergeCell ref="D5:D6"/>
    <mergeCell ref="E5:G6"/>
    <mergeCell ref="H5:J5"/>
    <mergeCell ref="A20:J20"/>
    <mergeCell ref="A22:A23"/>
    <mergeCell ref="B22:B23"/>
    <mergeCell ref="C22:C23"/>
    <mergeCell ref="D22:D23"/>
    <mergeCell ref="E22:G23"/>
    <mergeCell ref="H22:J22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A17" sqref="A17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8"/>
    <col min="4" max="5" width="14.42578125" style="28" hidden="1" customWidth="1"/>
    <col min="6" max="6" width="1" style="28" hidden="1" customWidth="1"/>
    <col min="7" max="7" width="12.7109375" style="28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</row>
    <row r="3" spans="1:10" ht="58.5" customHeight="1" x14ac:dyDescent="0.25">
      <c r="A3" s="185" t="s">
        <v>228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4.25" customHeight="1" x14ac:dyDescent="0.25">
      <c r="A5" s="226" t="s">
        <v>38</v>
      </c>
      <c r="B5" s="226" t="s">
        <v>80</v>
      </c>
      <c r="C5" s="226" t="s">
        <v>40</v>
      </c>
      <c r="D5" s="226" t="s">
        <v>61</v>
      </c>
      <c r="E5" s="221" t="s">
        <v>105</v>
      </c>
      <c r="F5" s="222"/>
      <c r="G5" s="231"/>
      <c r="H5" s="230" t="s">
        <v>106</v>
      </c>
      <c r="I5" s="230"/>
      <c r="J5" s="230"/>
    </row>
    <row r="6" spans="1:10" ht="17.25" customHeight="1" x14ac:dyDescent="0.25">
      <c r="A6" s="227"/>
      <c r="B6" s="227"/>
      <c r="C6" s="227"/>
      <c r="D6" s="228"/>
      <c r="E6" s="232"/>
      <c r="F6" s="233"/>
      <c r="G6" s="234"/>
      <c r="H6" s="59" t="s">
        <v>102</v>
      </c>
      <c r="I6" s="59" t="s">
        <v>103</v>
      </c>
      <c r="J6" s="59" t="s">
        <v>104</v>
      </c>
    </row>
    <row r="7" spans="1:10" s="24" customFormat="1" ht="14.25" x14ac:dyDescent="0.25">
      <c r="A7" s="58">
        <v>1</v>
      </c>
      <c r="B7" s="58">
        <v>2</v>
      </c>
      <c r="C7" s="58">
        <v>3</v>
      </c>
      <c r="D7" s="58">
        <v>3</v>
      </c>
      <c r="E7" s="58">
        <v>4</v>
      </c>
      <c r="F7" s="58">
        <v>5</v>
      </c>
      <c r="G7" s="58">
        <v>4</v>
      </c>
      <c r="H7" s="59">
        <v>5</v>
      </c>
      <c r="I7" s="59">
        <v>6</v>
      </c>
      <c r="J7" s="59">
        <v>7</v>
      </c>
    </row>
    <row r="8" spans="1:10" ht="26.25" customHeight="1" x14ac:dyDescent="0.25">
      <c r="A8" s="22" t="s">
        <v>62</v>
      </c>
      <c r="B8" s="22"/>
      <c r="C8" s="58" t="s">
        <v>41</v>
      </c>
      <c r="D8" s="20"/>
      <c r="E8" s="20"/>
      <c r="F8" s="20"/>
      <c r="G8" s="64">
        <f>H8+I8+J8</f>
        <v>0</v>
      </c>
      <c r="H8" s="68">
        <v>0</v>
      </c>
      <c r="I8" s="66">
        <v>0</v>
      </c>
      <c r="J8" s="66">
        <v>0</v>
      </c>
    </row>
    <row r="9" spans="1:10" x14ac:dyDescent="0.25">
      <c r="A9" s="23" t="s">
        <v>64</v>
      </c>
      <c r="B9" s="23"/>
      <c r="C9" s="58" t="s">
        <v>41</v>
      </c>
      <c r="D9" s="20"/>
      <c r="E9" s="20"/>
      <c r="F9" s="20"/>
      <c r="G9" s="79">
        <f>H9+I9+J9</f>
        <v>140000</v>
      </c>
      <c r="H9" s="79">
        <v>100000</v>
      </c>
      <c r="I9" s="80">
        <v>0</v>
      </c>
      <c r="J9" s="80">
        <v>40000</v>
      </c>
    </row>
    <row r="10" spans="1:10" ht="23.25" customHeight="1" x14ac:dyDescent="0.25">
      <c r="A10" s="23" t="s">
        <v>42</v>
      </c>
      <c r="B10" s="23"/>
      <c r="C10" s="58" t="s">
        <v>41</v>
      </c>
      <c r="D10" s="20"/>
      <c r="E10" s="20"/>
      <c r="F10" s="20"/>
      <c r="G10" s="63">
        <f>H10+I10+J10</f>
        <v>140000</v>
      </c>
      <c r="H10" s="63">
        <f>H11</f>
        <v>100000</v>
      </c>
      <c r="I10" s="63">
        <f t="shared" ref="I10:J10" si="0">I11</f>
        <v>0</v>
      </c>
      <c r="J10" s="63">
        <f t="shared" si="0"/>
        <v>40000</v>
      </c>
    </row>
    <row r="11" spans="1:10" s="19" customFormat="1" ht="21.75" customHeight="1" x14ac:dyDescent="0.25">
      <c r="A11" s="70" t="s">
        <v>136</v>
      </c>
      <c r="B11" s="42">
        <v>244</v>
      </c>
      <c r="C11" s="42" t="s">
        <v>41</v>
      </c>
      <c r="D11" s="42"/>
      <c r="E11" s="42"/>
      <c r="F11" s="44"/>
      <c r="G11" s="65">
        <f>H11+I11+J11</f>
        <v>140000</v>
      </c>
      <c r="H11" s="65">
        <f>H12</f>
        <v>100000</v>
      </c>
      <c r="I11" s="65">
        <f t="shared" ref="I11:J11" si="1">I12</f>
        <v>0</v>
      </c>
      <c r="J11" s="65">
        <f t="shared" si="1"/>
        <v>40000</v>
      </c>
    </row>
    <row r="12" spans="1:10" ht="21" customHeight="1" x14ac:dyDescent="0.25">
      <c r="A12" s="22" t="s">
        <v>51</v>
      </c>
      <c r="B12" s="20">
        <v>244</v>
      </c>
      <c r="C12" s="58">
        <v>226</v>
      </c>
      <c r="D12" s="20"/>
      <c r="E12" s="20"/>
      <c r="F12" s="57"/>
      <c r="G12" s="74">
        <f>H12+I12+J12</f>
        <v>140000</v>
      </c>
      <c r="H12" s="74">
        <v>100000</v>
      </c>
      <c r="I12" s="76">
        <v>0</v>
      </c>
      <c r="J12" s="76">
        <v>40000</v>
      </c>
    </row>
    <row r="13" spans="1:10" ht="30.75" customHeight="1" x14ac:dyDescent="0.25">
      <c r="A13" s="22" t="s">
        <v>63</v>
      </c>
      <c r="B13" s="58" t="s">
        <v>41</v>
      </c>
      <c r="C13" s="58" t="s">
        <v>41</v>
      </c>
      <c r="D13" s="25"/>
      <c r="E13" s="25"/>
      <c r="F13" s="39"/>
      <c r="G13" s="74">
        <f t="shared" ref="G13" si="2">H13+I13+J13</f>
        <v>0</v>
      </c>
      <c r="H13" s="78">
        <v>0</v>
      </c>
      <c r="I13" s="76">
        <v>0</v>
      </c>
      <c r="J13" s="76">
        <v>0</v>
      </c>
    </row>
    <row r="16" spans="1:10" ht="58.5" customHeight="1" x14ac:dyDescent="0.25">
      <c r="A16" s="185" t="s">
        <v>229</v>
      </c>
      <c r="B16" s="185"/>
      <c r="C16" s="185"/>
      <c r="D16" s="185"/>
      <c r="E16" s="185"/>
      <c r="F16" s="185"/>
      <c r="G16" s="185"/>
      <c r="H16" s="185"/>
      <c r="I16" s="185"/>
      <c r="J16" s="185"/>
    </row>
    <row r="18" spans="1:10" ht="14.25" customHeight="1" x14ac:dyDescent="0.25">
      <c r="A18" s="226" t="s">
        <v>38</v>
      </c>
      <c r="B18" s="226" t="s">
        <v>80</v>
      </c>
      <c r="C18" s="226" t="s">
        <v>40</v>
      </c>
      <c r="D18" s="226" t="s">
        <v>61</v>
      </c>
      <c r="E18" s="221" t="s">
        <v>105</v>
      </c>
      <c r="F18" s="222"/>
      <c r="G18" s="231"/>
      <c r="H18" s="230" t="s">
        <v>106</v>
      </c>
      <c r="I18" s="230"/>
      <c r="J18" s="230"/>
    </row>
    <row r="19" spans="1:10" ht="17.25" customHeight="1" x14ac:dyDescent="0.25">
      <c r="A19" s="227"/>
      <c r="B19" s="227"/>
      <c r="C19" s="227"/>
      <c r="D19" s="228"/>
      <c r="E19" s="232"/>
      <c r="F19" s="233"/>
      <c r="G19" s="234"/>
      <c r="H19" s="96" t="s">
        <v>102</v>
      </c>
      <c r="I19" s="96" t="s">
        <v>103</v>
      </c>
      <c r="J19" s="96" t="s">
        <v>104</v>
      </c>
    </row>
    <row r="20" spans="1:10" s="24" customFormat="1" ht="14.25" x14ac:dyDescent="0.25">
      <c r="A20" s="95">
        <v>1</v>
      </c>
      <c r="B20" s="95">
        <v>2</v>
      </c>
      <c r="C20" s="95">
        <v>3</v>
      </c>
      <c r="D20" s="95">
        <v>3</v>
      </c>
      <c r="E20" s="95">
        <v>4</v>
      </c>
      <c r="F20" s="95">
        <v>5</v>
      </c>
      <c r="G20" s="95">
        <v>4</v>
      </c>
      <c r="H20" s="96">
        <v>5</v>
      </c>
      <c r="I20" s="96">
        <v>6</v>
      </c>
      <c r="J20" s="96">
        <v>7</v>
      </c>
    </row>
    <row r="21" spans="1:10" ht="26.25" customHeight="1" x14ac:dyDescent="0.25">
      <c r="A21" s="22" t="s">
        <v>62</v>
      </c>
      <c r="B21" s="22"/>
      <c r="C21" s="95" t="s">
        <v>41</v>
      </c>
      <c r="D21" s="20"/>
      <c r="E21" s="20"/>
      <c r="F21" s="20"/>
      <c r="G21" s="64">
        <f t="shared" ref="G21:G26" si="3">H21+I21+J21</f>
        <v>0</v>
      </c>
      <c r="H21" s="68">
        <v>0</v>
      </c>
      <c r="I21" s="66">
        <v>0</v>
      </c>
      <c r="J21" s="66">
        <v>0</v>
      </c>
    </row>
    <row r="22" spans="1:10" x14ac:dyDescent="0.25">
      <c r="A22" s="23" t="s">
        <v>64</v>
      </c>
      <c r="B22" s="23"/>
      <c r="C22" s="95" t="s">
        <v>41</v>
      </c>
      <c r="D22" s="20"/>
      <c r="E22" s="20"/>
      <c r="F22" s="20"/>
      <c r="G22" s="79">
        <f t="shared" si="3"/>
        <v>234600</v>
      </c>
      <c r="H22" s="79">
        <v>0</v>
      </c>
      <c r="I22" s="80">
        <v>234600</v>
      </c>
      <c r="J22" s="80">
        <v>0</v>
      </c>
    </row>
    <row r="23" spans="1:10" ht="23.25" customHeight="1" x14ac:dyDescent="0.25">
      <c r="A23" s="23" t="s">
        <v>42</v>
      </c>
      <c r="B23" s="23"/>
      <c r="C23" s="95" t="s">
        <v>41</v>
      </c>
      <c r="D23" s="20"/>
      <c r="E23" s="20"/>
      <c r="F23" s="20"/>
      <c r="G23" s="63">
        <f t="shared" si="3"/>
        <v>234600</v>
      </c>
      <c r="H23" s="63">
        <f>H24</f>
        <v>0</v>
      </c>
      <c r="I23" s="63">
        <f t="shared" ref="I23:J23" si="4">I24</f>
        <v>234600</v>
      </c>
      <c r="J23" s="63">
        <f t="shared" si="4"/>
        <v>0</v>
      </c>
    </row>
    <row r="24" spans="1:10" s="19" customFormat="1" ht="21.75" customHeight="1" x14ac:dyDescent="0.25">
      <c r="A24" s="70" t="s">
        <v>136</v>
      </c>
      <c r="B24" s="42">
        <v>244</v>
      </c>
      <c r="C24" s="42" t="s">
        <v>41</v>
      </c>
      <c r="D24" s="42"/>
      <c r="E24" s="42"/>
      <c r="F24" s="44"/>
      <c r="G24" s="65">
        <f t="shared" si="3"/>
        <v>234600</v>
      </c>
      <c r="H24" s="65">
        <f>H26+H25</f>
        <v>0</v>
      </c>
      <c r="I24" s="65">
        <f>I26+I25</f>
        <v>234600</v>
      </c>
      <c r="J24" s="65">
        <f>J26+J25</f>
        <v>0</v>
      </c>
    </row>
    <row r="25" spans="1:10" s="99" customFormat="1" ht="21.75" customHeight="1" x14ac:dyDescent="0.25">
      <c r="A25" s="100" t="s">
        <v>50</v>
      </c>
      <c r="B25" s="20">
        <v>244</v>
      </c>
      <c r="C25" s="97">
        <v>225</v>
      </c>
      <c r="D25" s="97"/>
      <c r="E25" s="97"/>
      <c r="F25" s="98"/>
      <c r="G25" s="74">
        <f t="shared" si="3"/>
        <v>199000</v>
      </c>
      <c r="H25" s="101">
        <v>0</v>
      </c>
      <c r="I25" s="101">
        <v>199000</v>
      </c>
      <c r="J25" s="101">
        <v>0</v>
      </c>
    </row>
    <row r="26" spans="1:10" ht="21" customHeight="1" x14ac:dyDescent="0.25">
      <c r="A26" s="22" t="s">
        <v>51</v>
      </c>
      <c r="B26" s="20">
        <v>244</v>
      </c>
      <c r="C26" s="95">
        <v>226</v>
      </c>
      <c r="D26" s="20"/>
      <c r="E26" s="20"/>
      <c r="F26" s="94"/>
      <c r="G26" s="74">
        <f t="shared" si="3"/>
        <v>35600</v>
      </c>
      <c r="H26" s="74">
        <v>0</v>
      </c>
      <c r="I26" s="76">
        <v>35600</v>
      </c>
      <c r="J26" s="76">
        <v>0</v>
      </c>
    </row>
    <row r="27" spans="1:10" ht="30.75" customHeight="1" x14ac:dyDescent="0.25">
      <c r="A27" s="22" t="s">
        <v>63</v>
      </c>
      <c r="B27" s="95" t="s">
        <v>41</v>
      </c>
      <c r="C27" s="95" t="s">
        <v>41</v>
      </c>
      <c r="D27" s="25"/>
      <c r="E27" s="25"/>
      <c r="F27" s="39"/>
      <c r="G27" s="74">
        <f t="shared" ref="G27" si="5">H27+I27+J27</f>
        <v>0</v>
      </c>
      <c r="H27" s="78">
        <v>0</v>
      </c>
      <c r="I27" s="76">
        <v>0</v>
      </c>
      <c r="J27" s="76">
        <v>0</v>
      </c>
    </row>
  </sheetData>
  <mergeCells count="15">
    <mergeCell ref="A1:J1"/>
    <mergeCell ref="A3:J3"/>
    <mergeCell ref="A5:A6"/>
    <mergeCell ref="B5:B6"/>
    <mergeCell ref="C5:C6"/>
    <mergeCell ref="D5:D6"/>
    <mergeCell ref="E5:G6"/>
    <mergeCell ref="H5:J5"/>
    <mergeCell ref="A16:J16"/>
    <mergeCell ref="A18:A19"/>
    <mergeCell ref="B18:B19"/>
    <mergeCell ref="C18:C19"/>
    <mergeCell ref="D18:D19"/>
    <mergeCell ref="E18:G19"/>
    <mergeCell ref="H18:J18"/>
  </mergeCells>
  <pageMargins left="1.1811023622047245" right="0.39370078740157483" top="0.39370078740157483" bottom="0.39370078740157483" header="0.51181102362204722" footer="0.51181102362204722"/>
  <pageSetup paperSize="9" scale="73" fitToHeight="0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H20" sqref="H20"/>
    </sheetView>
  </sheetViews>
  <sheetFormatPr defaultRowHeight="15" x14ac:dyDescent="0.25"/>
  <cols>
    <col min="1" max="1" width="48" style="11" customWidth="1"/>
    <col min="2" max="2" width="10.140625" style="28" customWidth="1"/>
    <col min="3" max="3" width="9.140625" style="26"/>
    <col min="4" max="6" width="14.42578125" style="26" hidden="1" customWidth="1"/>
    <col min="7" max="7" width="16" style="26" customWidth="1"/>
    <col min="8" max="8" width="15.42578125" style="11" customWidth="1"/>
    <col min="9" max="9" width="15.28515625" style="11" customWidth="1"/>
    <col min="10" max="10" width="13.85546875" style="11" customWidth="1"/>
    <col min="11" max="16384" width="9.140625" style="11"/>
  </cols>
  <sheetData>
    <row r="1" spans="1:10" ht="68.25" customHeight="1" x14ac:dyDescent="0.25">
      <c r="A1" s="185" t="s">
        <v>279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9.75" customHeight="1" x14ac:dyDescent="0.25"/>
    <row r="3" spans="1:10" ht="14.25" customHeight="1" x14ac:dyDescent="0.25">
      <c r="A3" s="226" t="s">
        <v>38</v>
      </c>
      <c r="B3" s="226" t="s">
        <v>80</v>
      </c>
      <c r="C3" s="226" t="s">
        <v>40</v>
      </c>
      <c r="D3" s="226" t="s">
        <v>61</v>
      </c>
      <c r="E3" s="221" t="s">
        <v>105</v>
      </c>
      <c r="F3" s="222"/>
      <c r="G3" s="231"/>
      <c r="H3" s="230" t="s">
        <v>106</v>
      </c>
      <c r="I3" s="230"/>
      <c r="J3" s="230"/>
    </row>
    <row r="4" spans="1:10" ht="27.75" customHeight="1" x14ac:dyDescent="0.25">
      <c r="A4" s="227"/>
      <c r="B4" s="227"/>
      <c r="C4" s="227"/>
      <c r="D4" s="228"/>
      <c r="E4" s="232"/>
      <c r="F4" s="233"/>
      <c r="G4" s="234"/>
      <c r="H4" s="49" t="s">
        <v>102</v>
      </c>
      <c r="I4" s="49" t="s">
        <v>103</v>
      </c>
      <c r="J4" s="49" t="s">
        <v>104</v>
      </c>
    </row>
    <row r="5" spans="1:10" s="24" customFormat="1" ht="14.25" x14ac:dyDescent="0.25">
      <c r="A5" s="18">
        <v>1</v>
      </c>
      <c r="B5" s="37">
        <v>2</v>
      </c>
      <c r="C5" s="18">
        <v>3</v>
      </c>
      <c r="D5" s="18">
        <v>3</v>
      </c>
      <c r="E5" s="48">
        <v>4</v>
      </c>
      <c r="F5" s="48">
        <v>5</v>
      </c>
      <c r="G5" s="48">
        <v>4</v>
      </c>
      <c r="H5" s="49">
        <v>5</v>
      </c>
      <c r="I5" s="49">
        <v>6</v>
      </c>
      <c r="J5" s="49">
        <v>7</v>
      </c>
    </row>
    <row r="6" spans="1:10" ht="26.25" customHeight="1" x14ac:dyDescent="0.25">
      <c r="A6" s="22" t="s">
        <v>62</v>
      </c>
      <c r="B6" s="37" t="s">
        <v>41</v>
      </c>
      <c r="C6" s="18" t="s">
        <v>41</v>
      </c>
      <c r="D6" s="20"/>
      <c r="E6" s="20"/>
      <c r="F6" s="20"/>
      <c r="G6" s="64">
        <f>H6+I6+J6</f>
        <v>1079.26</v>
      </c>
      <c r="H6" s="66">
        <v>1079.26</v>
      </c>
      <c r="I6" s="66">
        <v>0</v>
      </c>
      <c r="J6" s="66">
        <v>0</v>
      </c>
    </row>
    <row r="7" spans="1:10" x14ac:dyDescent="0.25">
      <c r="A7" s="23" t="s">
        <v>64</v>
      </c>
      <c r="B7" s="37" t="s">
        <v>41</v>
      </c>
      <c r="C7" s="18" t="s">
        <v>41</v>
      </c>
      <c r="D7" s="20"/>
      <c r="E7" s="20"/>
      <c r="F7" s="20"/>
      <c r="G7" s="63">
        <f>H7+I7+J7</f>
        <v>742824</v>
      </c>
      <c r="H7" s="67">
        <v>247608</v>
      </c>
      <c r="I7" s="67">
        <v>247608</v>
      </c>
      <c r="J7" s="67">
        <v>247608</v>
      </c>
    </row>
    <row r="8" spans="1:10" ht="21" customHeight="1" x14ac:dyDescent="0.25">
      <c r="A8" s="23" t="s">
        <v>42</v>
      </c>
      <c r="B8" s="37" t="s">
        <v>41</v>
      </c>
      <c r="C8" s="18" t="s">
        <v>41</v>
      </c>
      <c r="D8" s="20"/>
      <c r="E8" s="20"/>
      <c r="F8" s="20"/>
      <c r="G8" s="63">
        <f>H8+I8+J8</f>
        <v>743903.26</v>
      </c>
      <c r="H8" s="67">
        <f>H9+H13+H29</f>
        <v>248687.26</v>
      </c>
      <c r="I8" s="67">
        <f>I9+I13+I29</f>
        <v>247608</v>
      </c>
      <c r="J8" s="67">
        <f>J9+J13+J29</f>
        <v>247608</v>
      </c>
    </row>
    <row r="9" spans="1:10" s="19" customFormat="1" ht="29.25" x14ac:dyDescent="0.25">
      <c r="A9" s="42" t="s">
        <v>83</v>
      </c>
      <c r="B9" s="42">
        <v>110</v>
      </c>
      <c r="C9" s="42" t="s">
        <v>41</v>
      </c>
      <c r="D9" s="42"/>
      <c r="E9" s="42"/>
      <c r="F9" s="44"/>
      <c r="G9" s="65">
        <f t="shared" ref="G9:G32" si="0">H9+I9+J9</f>
        <v>0</v>
      </c>
      <c r="H9" s="65">
        <f>SUM(H10:H12)</f>
        <v>0</v>
      </c>
      <c r="I9" s="65">
        <f>SUM(I10:I12)</f>
        <v>0</v>
      </c>
      <c r="J9" s="65">
        <f>SUM(J10:J12)</f>
        <v>0</v>
      </c>
    </row>
    <row r="10" spans="1:10" x14ac:dyDescent="0.25">
      <c r="A10" s="22" t="s">
        <v>43</v>
      </c>
      <c r="B10" s="37">
        <v>111</v>
      </c>
      <c r="C10" s="18">
        <v>211</v>
      </c>
      <c r="D10" s="20"/>
      <c r="E10" s="20"/>
      <c r="F10" s="20"/>
      <c r="G10" s="64">
        <f t="shared" si="0"/>
        <v>0</v>
      </c>
      <c r="H10" s="66">
        <v>0</v>
      </c>
      <c r="I10" s="66">
        <v>0</v>
      </c>
      <c r="J10" s="66">
        <v>0</v>
      </c>
    </row>
    <row r="11" spans="1:10" x14ac:dyDescent="0.25">
      <c r="A11" s="22" t="s">
        <v>44</v>
      </c>
      <c r="B11" s="37">
        <v>112</v>
      </c>
      <c r="C11" s="18">
        <v>212</v>
      </c>
      <c r="D11" s="20"/>
      <c r="E11" s="20"/>
      <c r="F11" s="20"/>
      <c r="G11" s="64">
        <f t="shared" si="0"/>
        <v>0</v>
      </c>
      <c r="H11" s="66">
        <v>0</v>
      </c>
      <c r="I11" s="66">
        <v>0</v>
      </c>
      <c r="J11" s="66">
        <v>0</v>
      </c>
    </row>
    <row r="12" spans="1:10" ht="19.5" customHeight="1" x14ac:dyDescent="0.25">
      <c r="A12" s="22" t="s">
        <v>45</v>
      </c>
      <c r="B12" s="37">
        <v>119</v>
      </c>
      <c r="C12" s="18">
        <v>213</v>
      </c>
      <c r="D12" s="20"/>
      <c r="E12" s="20"/>
      <c r="F12" s="20"/>
      <c r="G12" s="64">
        <f t="shared" si="0"/>
        <v>0</v>
      </c>
      <c r="H12" s="66">
        <v>0</v>
      </c>
      <c r="I12" s="66">
        <v>0</v>
      </c>
      <c r="J12" s="66">
        <v>0</v>
      </c>
    </row>
    <row r="13" spans="1:10" s="19" customFormat="1" ht="57.75" x14ac:dyDescent="0.25">
      <c r="A13" s="42" t="s">
        <v>82</v>
      </c>
      <c r="B13" s="42">
        <v>244</v>
      </c>
      <c r="C13" s="42" t="s">
        <v>41</v>
      </c>
      <c r="D13" s="43"/>
      <c r="E13" s="43"/>
      <c r="F13" s="20"/>
      <c r="G13" s="65">
        <f>H13+I13+J13</f>
        <v>743903.26</v>
      </c>
      <c r="H13" s="73">
        <f>H14+H21+H22</f>
        <v>248687.26</v>
      </c>
      <c r="I13" s="73">
        <f>I14+I21+I22</f>
        <v>247608</v>
      </c>
      <c r="J13" s="73">
        <f>J14+J21+J22</f>
        <v>247608</v>
      </c>
    </row>
    <row r="14" spans="1:10" x14ac:dyDescent="0.25">
      <c r="A14" s="23" t="s">
        <v>65</v>
      </c>
      <c r="B14" s="46">
        <v>244</v>
      </c>
      <c r="C14" s="46">
        <v>220</v>
      </c>
      <c r="D14" s="20"/>
      <c r="E14" s="20"/>
      <c r="F14" s="20"/>
      <c r="G14" s="63">
        <f t="shared" si="0"/>
        <v>743903.26</v>
      </c>
      <c r="H14" s="67">
        <f>SUM(H15:H20)</f>
        <v>248687.26</v>
      </c>
      <c r="I14" s="67">
        <f>SUM(I15:I20)</f>
        <v>247608</v>
      </c>
      <c r="J14" s="67">
        <f>SUM(J15:J20)</f>
        <v>247608</v>
      </c>
    </row>
    <row r="15" spans="1:10" x14ac:dyDescent="0.25">
      <c r="A15" s="22" t="s">
        <v>46</v>
      </c>
      <c r="B15" s="37">
        <v>244</v>
      </c>
      <c r="C15" s="18">
        <v>221</v>
      </c>
      <c r="D15" s="20"/>
      <c r="E15" s="20"/>
      <c r="F15" s="20"/>
      <c r="G15" s="64">
        <f t="shared" si="0"/>
        <v>0</v>
      </c>
      <c r="H15" s="66">
        <v>0</v>
      </c>
      <c r="I15" s="66">
        <v>0</v>
      </c>
      <c r="J15" s="66">
        <v>0</v>
      </c>
    </row>
    <row r="16" spans="1:10" x14ac:dyDescent="0.25">
      <c r="A16" s="22" t="s">
        <v>47</v>
      </c>
      <c r="B16" s="37">
        <v>244</v>
      </c>
      <c r="C16" s="18">
        <v>222</v>
      </c>
      <c r="D16" s="20"/>
      <c r="E16" s="20"/>
      <c r="F16" s="20"/>
      <c r="G16" s="64">
        <f t="shared" si="0"/>
        <v>0</v>
      </c>
      <c r="H16" s="66">
        <v>0</v>
      </c>
      <c r="I16" s="66">
        <v>0</v>
      </c>
      <c r="J16" s="66">
        <v>0</v>
      </c>
    </row>
    <row r="17" spans="1:10" x14ac:dyDescent="0.25">
      <c r="A17" s="22" t="s">
        <v>48</v>
      </c>
      <c r="B17" s="37">
        <v>244</v>
      </c>
      <c r="C17" s="18">
        <v>223</v>
      </c>
      <c r="D17" s="20"/>
      <c r="E17" s="20"/>
      <c r="F17" s="20"/>
      <c r="G17" s="64">
        <f t="shared" si="0"/>
        <v>589475</v>
      </c>
      <c r="H17" s="66">
        <v>196825</v>
      </c>
      <c r="I17" s="66">
        <v>196325</v>
      </c>
      <c r="J17" s="66">
        <v>196325</v>
      </c>
    </row>
    <row r="18" spans="1:10" ht="20.25" customHeight="1" x14ac:dyDescent="0.25">
      <c r="A18" s="22" t="s">
        <v>49</v>
      </c>
      <c r="B18" s="37">
        <v>244</v>
      </c>
      <c r="C18" s="18">
        <v>224</v>
      </c>
      <c r="D18" s="20"/>
      <c r="E18" s="20"/>
      <c r="F18" s="20"/>
      <c r="G18" s="64">
        <f t="shared" si="0"/>
        <v>0</v>
      </c>
      <c r="H18" s="66">
        <v>0</v>
      </c>
      <c r="I18" s="66">
        <v>0</v>
      </c>
      <c r="J18" s="66">
        <v>0</v>
      </c>
    </row>
    <row r="19" spans="1:10" ht="21.75" customHeight="1" x14ac:dyDescent="0.25">
      <c r="A19" s="22" t="s">
        <v>50</v>
      </c>
      <c r="B19" s="37">
        <v>244</v>
      </c>
      <c r="C19" s="18">
        <v>225</v>
      </c>
      <c r="D19" s="20"/>
      <c r="E19" s="20"/>
      <c r="F19" s="20"/>
      <c r="G19" s="64">
        <f t="shared" si="0"/>
        <v>137410</v>
      </c>
      <c r="H19" s="66">
        <v>46070</v>
      </c>
      <c r="I19" s="66">
        <v>45670</v>
      </c>
      <c r="J19" s="66">
        <v>45670</v>
      </c>
    </row>
    <row r="20" spans="1:10" x14ac:dyDescent="0.25">
      <c r="A20" s="22" t="s">
        <v>51</v>
      </c>
      <c r="B20" s="37">
        <v>244</v>
      </c>
      <c r="C20" s="18">
        <v>226</v>
      </c>
      <c r="D20" s="20"/>
      <c r="E20" s="20"/>
      <c r="F20" s="20"/>
      <c r="G20" s="64">
        <f t="shared" si="0"/>
        <v>17018.260000000002</v>
      </c>
      <c r="H20" s="66">
        <v>5792.26</v>
      </c>
      <c r="I20" s="66">
        <v>5613</v>
      </c>
      <c r="J20" s="66">
        <v>5613</v>
      </c>
    </row>
    <row r="21" spans="1:10" s="19" customFormat="1" x14ac:dyDescent="0.25">
      <c r="A21" s="23" t="s">
        <v>52</v>
      </c>
      <c r="B21" s="37">
        <v>244</v>
      </c>
      <c r="C21" s="37">
        <v>290</v>
      </c>
      <c r="D21" s="37"/>
      <c r="E21" s="37"/>
      <c r="F21" s="34"/>
      <c r="G21" s="63">
        <f t="shared" si="0"/>
        <v>0</v>
      </c>
      <c r="H21" s="63">
        <v>0</v>
      </c>
      <c r="I21" s="63">
        <v>0</v>
      </c>
      <c r="J21" s="63">
        <v>0</v>
      </c>
    </row>
    <row r="22" spans="1:10" ht="22.5" customHeight="1" x14ac:dyDescent="0.25">
      <c r="A22" s="23" t="s">
        <v>53</v>
      </c>
      <c r="B22" s="37">
        <v>244</v>
      </c>
      <c r="C22" s="18">
        <v>300</v>
      </c>
      <c r="D22" s="25"/>
      <c r="E22" s="25"/>
      <c r="F22" s="25"/>
      <c r="G22" s="63">
        <f t="shared" si="0"/>
        <v>0</v>
      </c>
      <c r="H22" s="67">
        <f>H23+H24</f>
        <v>0</v>
      </c>
      <c r="I22" s="67">
        <f>I23+I24</f>
        <v>0</v>
      </c>
      <c r="J22" s="67">
        <f>J23+J24</f>
        <v>0</v>
      </c>
    </row>
    <row r="23" spans="1:10" ht="20.25" customHeight="1" x14ac:dyDescent="0.25">
      <c r="A23" s="22" t="s">
        <v>54</v>
      </c>
      <c r="B23" s="37">
        <v>244</v>
      </c>
      <c r="C23" s="18">
        <v>310</v>
      </c>
      <c r="D23" s="25"/>
      <c r="E23" s="25"/>
      <c r="F23" s="25"/>
      <c r="G23" s="64">
        <f t="shared" si="0"/>
        <v>0</v>
      </c>
      <c r="H23" s="66">
        <v>0</v>
      </c>
      <c r="I23" s="66">
        <v>0</v>
      </c>
      <c r="J23" s="66">
        <v>0</v>
      </c>
    </row>
    <row r="24" spans="1:10" ht="30" customHeight="1" x14ac:dyDescent="0.25">
      <c r="A24" s="22" t="s">
        <v>70</v>
      </c>
      <c r="B24" s="37">
        <v>244</v>
      </c>
      <c r="C24" s="18">
        <v>340</v>
      </c>
      <c r="D24" s="25"/>
      <c r="E24" s="25"/>
      <c r="F24" s="25"/>
      <c r="G24" s="64">
        <f t="shared" si="0"/>
        <v>0</v>
      </c>
      <c r="H24" s="66">
        <f>SUM(H25:H28)</f>
        <v>0</v>
      </c>
      <c r="I24" s="66">
        <f>SUM(I25:I28)</f>
        <v>0</v>
      </c>
      <c r="J24" s="66">
        <f>SUM(J25:J28)</f>
        <v>0</v>
      </c>
    </row>
    <row r="25" spans="1:10" ht="33" customHeight="1" x14ac:dyDescent="0.25">
      <c r="A25" s="22" t="s">
        <v>59</v>
      </c>
      <c r="B25" s="37">
        <v>244</v>
      </c>
      <c r="C25" s="18">
        <v>341</v>
      </c>
      <c r="D25" s="25"/>
      <c r="E25" s="25"/>
      <c r="F25" s="25"/>
      <c r="G25" s="64">
        <f t="shared" si="0"/>
        <v>0</v>
      </c>
      <c r="H25" s="66">
        <v>0</v>
      </c>
      <c r="I25" s="66">
        <v>0</v>
      </c>
      <c r="J25" s="66">
        <v>0</v>
      </c>
    </row>
    <row r="26" spans="1:10" x14ac:dyDescent="0.25">
      <c r="A26" s="22" t="s">
        <v>56</v>
      </c>
      <c r="B26" s="37">
        <v>244</v>
      </c>
      <c r="C26" s="18">
        <v>342</v>
      </c>
      <c r="D26" s="25"/>
      <c r="E26" s="25"/>
      <c r="F26" s="25"/>
      <c r="G26" s="64">
        <f t="shared" si="0"/>
        <v>0</v>
      </c>
      <c r="H26" s="66">
        <v>0</v>
      </c>
      <c r="I26" s="66">
        <v>0</v>
      </c>
      <c r="J26" s="66">
        <v>0</v>
      </c>
    </row>
    <row r="27" spans="1:10" x14ac:dyDescent="0.25">
      <c r="A27" s="22" t="s">
        <v>57</v>
      </c>
      <c r="B27" s="37">
        <v>244</v>
      </c>
      <c r="C27" s="18">
        <v>343</v>
      </c>
      <c r="D27" s="25"/>
      <c r="E27" s="25"/>
      <c r="F27" s="25"/>
      <c r="G27" s="64">
        <f t="shared" si="0"/>
        <v>0</v>
      </c>
      <c r="H27" s="66">
        <v>0</v>
      </c>
      <c r="I27" s="66">
        <v>0</v>
      </c>
      <c r="J27" s="66">
        <v>0</v>
      </c>
    </row>
    <row r="28" spans="1:10" ht="33" customHeight="1" x14ac:dyDescent="0.25">
      <c r="A28" s="22" t="s">
        <v>58</v>
      </c>
      <c r="B28" s="37">
        <v>244</v>
      </c>
      <c r="C28" s="18">
        <v>344</v>
      </c>
      <c r="D28" s="25"/>
      <c r="E28" s="25"/>
      <c r="F28" s="25"/>
      <c r="G28" s="64">
        <f t="shared" si="0"/>
        <v>0</v>
      </c>
      <c r="H28" s="66">
        <v>0</v>
      </c>
      <c r="I28" s="66">
        <v>0</v>
      </c>
      <c r="J28" s="66">
        <v>0</v>
      </c>
    </row>
    <row r="29" spans="1:10" s="19" customFormat="1" ht="28.5" x14ac:dyDescent="0.25">
      <c r="A29" s="42" t="s">
        <v>84</v>
      </c>
      <c r="B29" s="42">
        <v>850</v>
      </c>
      <c r="C29" s="42" t="s">
        <v>41</v>
      </c>
      <c r="D29" s="42"/>
      <c r="E29" s="42"/>
      <c r="F29" s="44"/>
      <c r="G29" s="65">
        <f t="shared" si="0"/>
        <v>0</v>
      </c>
      <c r="H29" s="65">
        <f>SUM(H30:H31)</f>
        <v>0</v>
      </c>
      <c r="I29" s="65">
        <f>SUM(I30:I31)</f>
        <v>0</v>
      </c>
      <c r="J29" s="65">
        <f>SUM(J30:J31)</f>
        <v>0</v>
      </c>
    </row>
    <row r="30" spans="1:10" s="19" customFormat="1" x14ac:dyDescent="0.25">
      <c r="A30" s="22" t="s">
        <v>81</v>
      </c>
      <c r="B30" s="37">
        <v>851</v>
      </c>
      <c r="C30" s="37">
        <v>290</v>
      </c>
      <c r="D30" s="37"/>
      <c r="E30" s="37"/>
      <c r="F30" s="34"/>
      <c r="G30" s="63">
        <f t="shared" si="0"/>
        <v>0</v>
      </c>
      <c r="H30" s="63">
        <v>0</v>
      </c>
      <c r="I30" s="63">
        <v>0</v>
      </c>
      <c r="J30" s="63">
        <v>0</v>
      </c>
    </row>
    <row r="31" spans="1:10" s="19" customFormat="1" x14ac:dyDescent="0.25">
      <c r="A31" s="22" t="s">
        <v>78</v>
      </c>
      <c r="B31" s="37">
        <v>852</v>
      </c>
      <c r="C31" s="37">
        <v>290</v>
      </c>
      <c r="D31" s="37"/>
      <c r="E31" s="37"/>
      <c r="F31" s="34"/>
      <c r="G31" s="63">
        <f t="shared" si="0"/>
        <v>0</v>
      </c>
      <c r="H31" s="63">
        <v>0</v>
      </c>
      <c r="I31" s="63">
        <v>0</v>
      </c>
      <c r="J31" s="63">
        <v>0</v>
      </c>
    </row>
    <row r="32" spans="1:10" ht="24" customHeight="1" x14ac:dyDescent="0.25">
      <c r="A32" s="22" t="s">
        <v>63</v>
      </c>
      <c r="B32" s="37" t="s">
        <v>41</v>
      </c>
      <c r="C32" s="18" t="s">
        <v>41</v>
      </c>
      <c r="D32" s="25"/>
      <c r="E32" s="25"/>
      <c r="F32" s="25"/>
      <c r="G32" s="64">
        <f t="shared" si="0"/>
        <v>0</v>
      </c>
      <c r="H32" s="66">
        <v>0</v>
      </c>
      <c r="I32" s="66">
        <v>0</v>
      </c>
      <c r="J32" s="66">
        <v>0</v>
      </c>
    </row>
  </sheetData>
  <mergeCells count="7">
    <mergeCell ref="H3:J3"/>
    <mergeCell ref="A1:J1"/>
    <mergeCell ref="A3:A4"/>
    <mergeCell ref="C3:C4"/>
    <mergeCell ref="D3:D4"/>
    <mergeCell ref="E3:G4"/>
    <mergeCell ref="B3:B4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66" fitToHeight="0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H33" sqref="H33"/>
    </sheetView>
  </sheetViews>
  <sheetFormatPr defaultRowHeight="15" x14ac:dyDescent="0.25"/>
  <cols>
    <col min="1" max="1" width="46" style="11" customWidth="1"/>
    <col min="2" max="2" width="10.140625" style="28" customWidth="1"/>
    <col min="3" max="3" width="11.5703125" style="26" customWidth="1"/>
    <col min="4" max="6" width="14.42578125" style="26" hidden="1" customWidth="1"/>
    <col min="7" max="7" width="13.7109375" style="26" customWidth="1"/>
    <col min="8" max="8" width="17.140625" style="11" customWidth="1"/>
    <col min="9" max="9" width="15.5703125" style="11" customWidth="1"/>
    <col min="10" max="10" width="16.28515625" style="11" customWidth="1"/>
    <col min="11" max="16384" width="9.140625" style="11"/>
  </cols>
  <sheetData>
    <row r="1" spans="1:10" ht="62.25" customHeight="1" x14ac:dyDescent="0.25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4.25" customHeight="1" x14ac:dyDescent="0.25">
      <c r="A2" s="226" t="s">
        <v>38</v>
      </c>
      <c r="B2" s="226" t="s">
        <v>80</v>
      </c>
      <c r="C2" s="226" t="s">
        <v>40</v>
      </c>
      <c r="D2" s="226" t="s">
        <v>61</v>
      </c>
      <c r="E2" s="221" t="s">
        <v>105</v>
      </c>
      <c r="F2" s="222"/>
      <c r="G2" s="231"/>
      <c r="H2" s="230" t="s">
        <v>106</v>
      </c>
      <c r="I2" s="230"/>
      <c r="J2" s="230"/>
    </row>
    <row r="3" spans="1:10" ht="17.25" customHeight="1" x14ac:dyDescent="0.25">
      <c r="A3" s="227"/>
      <c r="B3" s="227"/>
      <c r="C3" s="227"/>
      <c r="D3" s="228"/>
      <c r="E3" s="232"/>
      <c r="F3" s="233"/>
      <c r="G3" s="234"/>
      <c r="H3" s="49" t="s">
        <v>102</v>
      </c>
      <c r="I3" s="49" t="s">
        <v>103</v>
      </c>
      <c r="J3" s="49" t="s">
        <v>104</v>
      </c>
    </row>
    <row r="4" spans="1:10" s="24" customFormat="1" ht="14.25" x14ac:dyDescent="0.25">
      <c r="A4" s="18">
        <v>1</v>
      </c>
      <c r="B4" s="37">
        <v>2</v>
      </c>
      <c r="C4" s="18">
        <v>3</v>
      </c>
      <c r="D4" s="18">
        <v>3</v>
      </c>
      <c r="E4" s="48">
        <v>4</v>
      </c>
      <c r="F4" s="48">
        <v>5</v>
      </c>
      <c r="G4" s="48">
        <v>4</v>
      </c>
      <c r="H4" s="49">
        <v>5</v>
      </c>
      <c r="I4" s="49">
        <v>6</v>
      </c>
      <c r="J4" s="49">
        <v>7</v>
      </c>
    </row>
    <row r="5" spans="1:10" ht="21" customHeight="1" x14ac:dyDescent="0.25">
      <c r="A5" s="22" t="s">
        <v>62</v>
      </c>
      <c r="B5" s="37" t="s">
        <v>41</v>
      </c>
      <c r="C5" s="18" t="s">
        <v>41</v>
      </c>
      <c r="D5" s="20"/>
      <c r="E5" s="20"/>
      <c r="F5" s="20"/>
      <c r="G5" s="64">
        <f>H5+I5+J5</f>
        <v>276363.99</v>
      </c>
      <c r="H5" s="66">
        <f>262497.11+21.92+13844.96</f>
        <v>276363.99</v>
      </c>
      <c r="I5" s="66">
        <v>0</v>
      </c>
      <c r="J5" s="66">
        <v>0</v>
      </c>
    </row>
    <row r="6" spans="1:10" x14ac:dyDescent="0.25">
      <c r="A6" s="23" t="s">
        <v>64</v>
      </c>
      <c r="B6" s="37" t="s">
        <v>41</v>
      </c>
      <c r="C6" s="18" t="s">
        <v>41</v>
      </c>
      <c r="D6" s="20"/>
      <c r="E6" s="20"/>
      <c r="F6" s="20"/>
      <c r="G6" s="63">
        <f t="shared" ref="G6:G34" si="0">H6+I6+J6</f>
        <v>3129084</v>
      </c>
      <c r="H6" s="67">
        <v>1043028</v>
      </c>
      <c r="I6" s="67">
        <v>1043028</v>
      </c>
      <c r="J6" s="67">
        <v>1043028</v>
      </c>
    </row>
    <row r="7" spans="1:10" ht="19.5" customHeight="1" x14ac:dyDescent="0.25">
      <c r="A7" s="23" t="s">
        <v>42</v>
      </c>
      <c r="B7" s="37" t="s">
        <v>41</v>
      </c>
      <c r="C7" s="18" t="s">
        <v>41</v>
      </c>
      <c r="D7" s="20"/>
      <c r="E7" s="20"/>
      <c r="F7" s="20"/>
      <c r="G7" s="63">
        <f t="shared" si="0"/>
        <v>3405447.99</v>
      </c>
      <c r="H7" s="67">
        <f>H8+H12+H28+H30</f>
        <v>1319391.99</v>
      </c>
      <c r="I7" s="67">
        <f>I8+I12+I30</f>
        <v>1043028</v>
      </c>
      <c r="J7" s="67">
        <f>J8+J12+J30</f>
        <v>1043028</v>
      </c>
    </row>
    <row r="8" spans="1:10" s="19" customFormat="1" ht="29.25" x14ac:dyDescent="0.25">
      <c r="A8" s="42" t="s">
        <v>83</v>
      </c>
      <c r="B8" s="42">
        <v>110</v>
      </c>
      <c r="C8" s="42" t="s">
        <v>41</v>
      </c>
      <c r="D8" s="42"/>
      <c r="E8" s="42"/>
      <c r="F8" s="44"/>
      <c r="G8" s="65">
        <f t="shared" si="0"/>
        <v>87000</v>
      </c>
      <c r="H8" s="65">
        <f>SUM(H9:H11)</f>
        <v>52000</v>
      </c>
      <c r="I8" s="65">
        <f>SUM(I9:I11)</f>
        <v>17500</v>
      </c>
      <c r="J8" s="65">
        <f>SUM(J9:J11)</f>
        <v>17500</v>
      </c>
    </row>
    <row r="9" spans="1:10" x14ac:dyDescent="0.25">
      <c r="A9" s="22" t="s">
        <v>43</v>
      </c>
      <c r="B9" s="37">
        <v>111</v>
      </c>
      <c r="C9" s="18">
        <v>211</v>
      </c>
      <c r="D9" s="20"/>
      <c r="E9" s="20"/>
      <c r="F9" s="20"/>
      <c r="G9" s="64">
        <f t="shared" si="0"/>
        <v>0</v>
      </c>
      <c r="H9" s="66">
        <v>0</v>
      </c>
      <c r="I9" s="66">
        <v>0</v>
      </c>
      <c r="J9" s="66">
        <v>0</v>
      </c>
    </row>
    <row r="10" spans="1:10" x14ac:dyDescent="0.25">
      <c r="A10" s="22" t="s">
        <v>44</v>
      </c>
      <c r="B10" s="37">
        <v>112</v>
      </c>
      <c r="C10" s="18">
        <v>212</v>
      </c>
      <c r="D10" s="20"/>
      <c r="E10" s="20"/>
      <c r="F10" s="20"/>
      <c r="G10" s="64">
        <f t="shared" si="0"/>
        <v>87000</v>
      </c>
      <c r="H10" s="66">
        <f>17500+34500</f>
        <v>52000</v>
      </c>
      <c r="I10" s="66">
        <v>17500</v>
      </c>
      <c r="J10" s="66">
        <v>17500</v>
      </c>
    </row>
    <row r="11" spans="1:10" ht="21.75" customHeight="1" x14ac:dyDescent="0.25">
      <c r="A11" s="22" t="s">
        <v>45</v>
      </c>
      <c r="B11" s="37">
        <v>119</v>
      </c>
      <c r="C11" s="18">
        <v>213</v>
      </c>
      <c r="D11" s="20"/>
      <c r="E11" s="20"/>
      <c r="F11" s="20"/>
      <c r="G11" s="64">
        <f t="shared" si="0"/>
        <v>0</v>
      </c>
      <c r="H11" s="66">
        <v>0</v>
      </c>
      <c r="I11" s="66">
        <v>0</v>
      </c>
      <c r="J11" s="66">
        <v>0</v>
      </c>
    </row>
    <row r="12" spans="1:10" s="19" customFormat="1" ht="57.75" x14ac:dyDescent="0.25">
      <c r="A12" s="42" t="s">
        <v>82</v>
      </c>
      <c r="B12" s="42">
        <v>244</v>
      </c>
      <c r="C12" s="42" t="s">
        <v>41</v>
      </c>
      <c r="D12" s="43"/>
      <c r="E12" s="43"/>
      <c r="F12" s="20"/>
      <c r="G12" s="65">
        <f t="shared" si="0"/>
        <v>3176652.99</v>
      </c>
      <c r="H12" s="73">
        <f>H13+H20+H21</f>
        <v>1173596.99</v>
      </c>
      <c r="I12" s="73">
        <f>I13+I20+I21</f>
        <v>1001528</v>
      </c>
      <c r="J12" s="73">
        <f>J13+J20+J21</f>
        <v>1001528</v>
      </c>
    </row>
    <row r="13" spans="1:10" x14ac:dyDescent="0.25">
      <c r="A13" s="23" t="s">
        <v>65</v>
      </c>
      <c r="B13" s="46">
        <v>244</v>
      </c>
      <c r="C13" s="46">
        <v>220</v>
      </c>
      <c r="D13" s="20"/>
      <c r="E13" s="20"/>
      <c r="F13" s="20"/>
      <c r="G13" s="63">
        <f t="shared" si="0"/>
        <v>1865867.99</v>
      </c>
      <c r="H13" s="67">
        <f>SUM(H14:H19)</f>
        <v>669267.99</v>
      </c>
      <c r="I13" s="67">
        <f>SUM(I14:I19)</f>
        <v>598300</v>
      </c>
      <c r="J13" s="67">
        <f>SUM(J14:J19)</f>
        <v>598300</v>
      </c>
    </row>
    <row r="14" spans="1:10" x14ac:dyDescent="0.25">
      <c r="A14" s="22" t="s">
        <v>46</v>
      </c>
      <c r="B14" s="37">
        <v>244</v>
      </c>
      <c r="C14" s="18">
        <v>221</v>
      </c>
      <c r="D14" s="20"/>
      <c r="E14" s="20"/>
      <c r="F14" s="20"/>
      <c r="G14" s="64">
        <f t="shared" si="0"/>
        <v>22349.79</v>
      </c>
      <c r="H14" s="66">
        <f>7000+1349.79</f>
        <v>8349.7900000000009</v>
      </c>
      <c r="I14" s="66">
        <v>7000</v>
      </c>
      <c r="J14" s="66">
        <v>7000</v>
      </c>
    </row>
    <row r="15" spans="1:10" x14ac:dyDescent="0.25">
      <c r="A15" s="22" t="s">
        <v>47</v>
      </c>
      <c r="B15" s="37">
        <v>244</v>
      </c>
      <c r="C15" s="18">
        <v>222</v>
      </c>
      <c r="D15" s="20"/>
      <c r="E15" s="20"/>
      <c r="F15" s="20"/>
      <c r="G15" s="64">
        <f t="shared" si="0"/>
        <v>0</v>
      </c>
      <c r="H15" s="66">
        <v>0</v>
      </c>
      <c r="I15" s="66">
        <v>0</v>
      </c>
      <c r="J15" s="66">
        <v>0</v>
      </c>
    </row>
    <row r="16" spans="1:10" x14ac:dyDescent="0.25">
      <c r="A16" s="22" t="s">
        <v>48</v>
      </c>
      <c r="B16" s="37">
        <v>244</v>
      </c>
      <c r="C16" s="18">
        <v>223</v>
      </c>
      <c r="D16" s="20"/>
      <c r="E16" s="20"/>
      <c r="F16" s="20"/>
      <c r="G16" s="64">
        <f t="shared" si="0"/>
        <v>249309.46</v>
      </c>
      <c r="H16" s="66">
        <f>71000+36309.46</f>
        <v>107309.45999999999</v>
      </c>
      <c r="I16" s="66">
        <v>71000</v>
      </c>
      <c r="J16" s="66">
        <v>71000</v>
      </c>
    </row>
    <row r="17" spans="1:11" ht="23.25" customHeight="1" x14ac:dyDescent="0.25">
      <c r="A17" s="22" t="s">
        <v>49</v>
      </c>
      <c r="B17" s="37">
        <v>244</v>
      </c>
      <c r="C17" s="18">
        <v>224</v>
      </c>
      <c r="D17" s="20"/>
      <c r="E17" s="20"/>
      <c r="F17" s="20"/>
      <c r="G17" s="64">
        <f t="shared" si="0"/>
        <v>0</v>
      </c>
      <c r="H17" s="66">
        <v>0</v>
      </c>
      <c r="I17" s="66">
        <v>0</v>
      </c>
      <c r="J17" s="66">
        <v>0</v>
      </c>
    </row>
    <row r="18" spans="1:11" ht="22.5" customHeight="1" x14ac:dyDescent="0.25">
      <c r="A18" s="22" t="s">
        <v>50</v>
      </c>
      <c r="B18" s="37">
        <v>244</v>
      </c>
      <c r="C18" s="18">
        <v>225</v>
      </c>
      <c r="D18" s="20"/>
      <c r="E18" s="20"/>
      <c r="F18" s="20"/>
      <c r="G18" s="64">
        <f t="shared" si="0"/>
        <v>580301.06999999995</v>
      </c>
      <c r="H18" s="66">
        <f>188800+56.11+13844.96</f>
        <v>202701.06999999998</v>
      </c>
      <c r="I18" s="66">
        <v>188800</v>
      </c>
      <c r="J18" s="66">
        <v>188800</v>
      </c>
    </row>
    <row r="19" spans="1:11" x14ac:dyDescent="0.25">
      <c r="A19" s="22" t="s">
        <v>51</v>
      </c>
      <c r="B19" s="37">
        <v>244</v>
      </c>
      <c r="C19" s="18">
        <v>226</v>
      </c>
      <c r="D19" s="20"/>
      <c r="E19" s="20"/>
      <c r="F19" s="20"/>
      <c r="G19" s="64">
        <f t="shared" si="0"/>
        <v>1013907.6699999999</v>
      </c>
      <c r="H19" s="66">
        <f>331500+19385.75+21.92</f>
        <v>350907.67</v>
      </c>
      <c r="I19" s="66">
        <v>331500</v>
      </c>
      <c r="J19" s="66">
        <v>331500</v>
      </c>
    </row>
    <row r="20" spans="1:11" s="19" customFormat="1" x14ac:dyDescent="0.25">
      <c r="A20" s="23" t="s">
        <v>52</v>
      </c>
      <c r="B20" s="37">
        <v>244</v>
      </c>
      <c r="C20" s="37">
        <v>290</v>
      </c>
      <c r="D20" s="37">
        <v>290</v>
      </c>
      <c r="E20" s="37"/>
      <c r="F20" s="37"/>
      <c r="G20" s="63">
        <f t="shared" si="0"/>
        <v>20000</v>
      </c>
      <c r="H20" s="63">
        <v>20000</v>
      </c>
      <c r="I20" s="63">
        <v>0</v>
      </c>
      <c r="J20" s="63">
        <v>0</v>
      </c>
      <c r="K20" s="35"/>
    </row>
    <row r="21" spans="1:11" ht="21.75" customHeight="1" x14ac:dyDescent="0.25">
      <c r="A21" s="23" t="s">
        <v>53</v>
      </c>
      <c r="B21" s="37">
        <v>244</v>
      </c>
      <c r="C21" s="18">
        <v>300</v>
      </c>
      <c r="D21" s="25"/>
      <c r="E21" s="25"/>
      <c r="F21" s="25"/>
      <c r="G21" s="63">
        <f t="shared" si="0"/>
        <v>1290785</v>
      </c>
      <c r="H21" s="67">
        <f>H22+H23</f>
        <v>484329</v>
      </c>
      <c r="I21" s="67">
        <f>I22+I23</f>
        <v>403228</v>
      </c>
      <c r="J21" s="67">
        <f>J22+J23</f>
        <v>403228</v>
      </c>
    </row>
    <row r="22" spans="1:11" ht="19.5" customHeight="1" x14ac:dyDescent="0.25">
      <c r="A22" s="22" t="s">
        <v>54</v>
      </c>
      <c r="B22" s="37">
        <v>244</v>
      </c>
      <c r="C22" s="18">
        <v>310</v>
      </c>
      <c r="D22" s="25"/>
      <c r="E22" s="25"/>
      <c r="F22" s="25"/>
      <c r="G22" s="64">
        <f t="shared" si="0"/>
        <v>677185</v>
      </c>
      <c r="H22" s="66">
        <f>215828+29701</f>
        <v>245529</v>
      </c>
      <c r="I22" s="66">
        <v>215828</v>
      </c>
      <c r="J22" s="66">
        <v>215828</v>
      </c>
    </row>
    <row r="23" spans="1:11" ht="43.5" customHeight="1" x14ac:dyDescent="0.25">
      <c r="A23" s="22" t="s">
        <v>55</v>
      </c>
      <c r="B23" s="37">
        <v>244</v>
      </c>
      <c r="C23" s="18">
        <v>340</v>
      </c>
      <c r="D23" s="25"/>
      <c r="E23" s="25"/>
      <c r="F23" s="25"/>
      <c r="G23" s="64">
        <f t="shared" si="0"/>
        <v>613600</v>
      </c>
      <c r="H23" s="66">
        <f>SUM(H24:H27)</f>
        <v>238800</v>
      </c>
      <c r="I23" s="66">
        <f>SUM(I24:I27)</f>
        <v>187400</v>
      </c>
      <c r="J23" s="66">
        <f>SUM(J24:J27)</f>
        <v>187400</v>
      </c>
    </row>
    <row r="24" spans="1:11" ht="35.25" customHeight="1" x14ac:dyDescent="0.25">
      <c r="A24" s="22" t="s">
        <v>59</v>
      </c>
      <c r="B24" s="37">
        <v>244</v>
      </c>
      <c r="C24" s="18">
        <v>341</v>
      </c>
      <c r="D24" s="25"/>
      <c r="E24" s="25"/>
      <c r="F24" s="25"/>
      <c r="G24" s="64">
        <f t="shared" si="0"/>
        <v>15000</v>
      </c>
      <c r="H24" s="66">
        <v>5000</v>
      </c>
      <c r="I24" s="66">
        <v>5000</v>
      </c>
      <c r="J24" s="66">
        <v>5000</v>
      </c>
    </row>
    <row r="25" spans="1:11" x14ac:dyDescent="0.25">
      <c r="A25" s="22" t="s">
        <v>56</v>
      </c>
      <c r="B25" s="37">
        <v>244</v>
      </c>
      <c r="C25" s="18">
        <v>342</v>
      </c>
      <c r="D25" s="25"/>
      <c r="E25" s="25"/>
      <c r="F25" s="25"/>
      <c r="G25" s="64">
        <f t="shared" si="0"/>
        <v>44300</v>
      </c>
      <c r="H25" s="66">
        <f>14300+1400</f>
        <v>15700</v>
      </c>
      <c r="I25" s="66">
        <v>14300</v>
      </c>
      <c r="J25" s="66">
        <v>14300</v>
      </c>
    </row>
    <row r="26" spans="1:11" x14ac:dyDescent="0.25">
      <c r="A26" s="22" t="s">
        <v>57</v>
      </c>
      <c r="B26" s="37">
        <v>244</v>
      </c>
      <c r="C26" s="18">
        <v>343</v>
      </c>
      <c r="D26" s="25"/>
      <c r="E26" s="25"/>
      <c r="F26" s="25"/>
      <c r="G26" s="64">
        <f t="shared" si="0"/>
        <v>12300</v>
      </c>
      <c r="H26" s="66">
        <v>4100</v>
      </c>
      <c r="I26" s="66">
        <v>4100</v>
      </c>
      <c r="J26" s="66">
        <v>4100</v>
      </c>
    </row>
    <row r="27" spans="1:11" ht="30" x14ac:dyDescent="0.25">
      <c r="A27" s="22" t="s">
        <v>58</v>
      </c>
      <c r="B27" s="37">
        <v>244</v>
      </c>
      <c r="C27" s="18">
        <v>344</v>
      </c>
      <c r="D27" s="25"/>
      <c r="E27" s="25"/>
      <c r="F27" s="25"/>
      <c r="G27" s="64">
        <f t="shared" si="0"/>
        <v>542000</v>
      </c>
      <c r="H27" s="66">
        <f>164000+50000</f>
        <v>214000</v>
      </c>
      <c r="I27" s="66">
        <v>164000</v>
      </c>
      <c r="J27" s="66">
        <v>164000</v>
      </c>
    </row>
    <row r="28" spans="1:11" s="19" customFormat="1" x14ac:dyDescent="0.25">
      <c r="A28" s="70" t="s">
        <v>138</v>
      </c>
      <c r="B28" s="42">
        <v>350</v>
      </c>
      <c r="C28" s="42" t="s">
        <v>41</v>
      </c>
      <c r="D28" s="42"/>
      <c r="E28" s="42"/>
      <c r="F28" s="44"/>
      <c r="G28" s="65">
        <f>H28+I28+J28</f>
        <v>5000</v>
      </c>
      <c r="H28" s="65">
        <f>H29</f>
        <v>5000</v>
      </c>
      <c r="I28" s="65">
        <f>I29</f>
        <v>0</v>
      </c>
      <c r="J28" s="65">
        <f>J29</f>
        <v>0</v>
      </c>
    </row>
    <row r="29" spans="1:11" s="19" customFormat="1" x14ac:dyDescent="0.25">
      <c r="A29" s="23" t="s">
        <v>52</v>
      </c>
      <c r="B29" s="125">
        <v>350</v>
      </c>
      <c r="C29" s="125">
        <v>290</v>
      </c>
      <c r="D29" s="125">
        <v>290</v>
      </c>
      <c r="E29" s="125"/>
      <c r="F29" s="125"/>
      <c r="G29" s="63">
        <f t="shared" ref="G29" si="1">H29+I29+J29</f>
        <v>5000</v>
      </c>
      <c r="H29" s="63">
        <v>5000</v>
      </c>
      <c r="I29" s="63">
        <v>0</v>
      </c>
      <c r="J29" s="63">
        <v>0</v>
      </c>
      <c r="K29" s="35"/>
    </row>
    <row r="30" spans="1:11" s="19" customFormat="1" ht="28.5" x14ac:dyDescent="0.25">
      <c r="A30" s="42" t="s">
        <v>84</v>
      </c>
      <c r="B30" s="42">
        <v>850</v>
      </c>
      <c r="C30" s="42" t="s">
        <v>41</v>
      </c>
      <c r="D30" s="42"/>
      <c r="E30" s="42"/>
      <c r="F30" s="44"/>
      <c r="G30" s="65">
        <f t="shared" si="0"/>
        <v>136795</v>
      </c>
      <c r="H30" s="65">
        <f>SUM(H31:H33)</f>
        <v>88795</v>
      </c>
      <c r="I30" s="65">
        <f>SUM(I31:I33)</f>
        <v>24000</v>
      </c>
      <c r="J30" s="65">
        <f>SUM(J31:J33)</f>
        <v>24000</v>
      </c>
    </row>
    <row r="31" spans="1:11" s="19" customFormat="1" ht="30" x14ac:dyDescent="0.25">
      <c r="A31" s="22" t="s">
        <v>81</v>
      </c>
      <c r="B31" s="37">
        <v>851</v>
      </c>
      <c r="C31" s="37">
        <v>290</v>
      </c>
      <c r="D31" s="37"/>
      <c r="E31" s="37"/>
      <c r="F31" s="37"/>
      <c r="G31" s="63">
        <f t="shared" si="0"/>
        <v>23926.13</v>
      </c>
      <c r="H31" s="63">
        <v>23926.13</v>
      </c>
      <c r="I31" s="63">
        <v>0</v>
      </c>
      <c r="J31" s="63">
        <v>0</v>
      </c>
      <c r="K31" s="35"/>
    </row>
    <row r="32" spans="1:11" s="19" customFormat="1" x14ac:dyDescent="0.25">
      <c r="A32" s="22" t="s">
        <v>78</v>
      </c>
      <c r="B32" s="37">
        <v>852</v>
      </c>
      <c r="C32" s="37">
        <v>290</v>
      </c>
      <c r="D32" s="37"/>
      <c r="E32" s="37"/>
      <c r="F32" s="37"/>
      <c r="G32" s="63">
        <f t="shared" si="0"/>
        <v>82868.87</v>
      </c>
      <c r="H32" s="63">
        <f>24000+10868.87</f>
        <v>34868.870000000003</v>
      </c>
      <c r="I32" s="63">
        <v>24000</v>
      </c>
      <c r="J32" s="63">
        <v>24000</v>
      </c>
      <c r="K32" s="35"/>
    </row>
    <row r="33" spans="1:11" s="19" customFormat="1" x14ac:dyDescent="0.25">
      <c r="A33" s="22" t="s">
        <v>79</v>
      </c>
      <c r="B33" s="41">
        <v>853</v>
      </c>
      <c r="C33" s="37">
        <v>290</v>
      </c>
      <c r="D33" s="37"/>
      <c r="E33" s="37"/>
      <c r="F33" s="37"/>
      <c r="G33" s="63">
        <f t="shared" si="0"/>
        <v>30000</v>
      </c>
      <c r="H33" s="63">
        <v>30000</v>
      </c>
      <c r="I33" s="63">
        <v>0</v>
      </c>
      <c r="J33" s="63">
        <v>0</v>
      </c>
      <c r="K33" s="35"/>
    </row>
    <row r="34" spans="1:11" ht="21" customHeight="1" x14ac:dyDescent="0.25">
      <c r="A34" s="22" t="s">
        <v>63</v>
      </c>
      <c r="B34" s="37" t="s">
        <v>41</v>
      </c>
      <c r="C34" s="18" t="s">
        <v>41</v>
      </c>
      <c r="D34" s="25"/>
      <c r="E34" s="25"/>
      <c r="F34" s="25"/>
      <c r="G34" s="64">
        <f t="shared" si="0"/>
        <v>0</v>
      </c>
      <c r="H34" s="66">
        <v>0</v>
      </c>
      <c r="I34" s="66">
        <v>0</v>
      </c>
      <c r="J34" s="66">
        <v>0</v>
      </c>
    </row>
    <row r="36" spans="1:11" x14ac:dyDescent="0.25">
      <c r="C36" s="28"/>
      <c r="D36" s="28"/>
      <c r="E36" s="28"/>
      <c r="F36" s="28"/>
      <c r="G36" s="28"/>
    </row>
  </sheetData>
  <mergeCells count="7">
    <mergeCell ref="H2:J2"/>
    <mergeCell ref="A1:J1"/>
    <mergeCell ref="A2:A3"/>
    <mergeCell ref="C2:C3"/>
    <mergeCell ref="D2:D3"/>
    <mergeCell ref="E2:G3"/>
    <mergeCell ref="B2:B3"/>
  </mergeCells>
  <phoneticPr fontId="12" type="noConversion"/>
  <pageMargins left="1.1811023622047245" right="0.39370078740157483" top="0" bottom="0" header="0.51181102362204722" footer="0.51181102362204722"/>
  <pageSetup paperSize="9" scale="65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A4" sqref="A4:C4"/>
    </sheetView>
  </sheetViews>
  <sheetFormatPr defaultRowHeight="15" x14ac:dyDescent="0.25"/>
  <cols>
    <col min="1" max="1" width="58.5703125" customWidth="1"/>
    <col min="2" max="2" width="16.42578125" customWidth="1"/>
    <col min="3" max="3" width="36.5703125" customWidth="1"/>
  </cols>
  <sheetData>
    <row r="1" spans="1:3" ht="18.75" x14ac:dyDescent="0.25">
      <c r="A1" s="188" t="s">
        <v>257</v>
      </c>
      <c r="B1" s="188"/>
      <c r="C1" s="188"/>
    </row>
    <row r="2" spans="1:3" ht="18.75" x14ac:dyDescent="0.25">
      <c r="A2" s="188" t="s">
        <v>258</v>
      </c>
      <c r="B2" s="188"/>
      <c r="C2" s="188"/>
    </row>
    <row r="3" spans="1:3" ht="18.75" x14ac:dyDescent="0.25">
      <c r="A3" s="188" t="s">
        <v>280</v>
      </c>
      <c r="B3" s="188"/>
      <c r="C3" s="188"/>
    </row>
    <row r="4" spans="1:3" ht="15.75" x14ac:dyDescent="0.25">
      <c r="A4" s="190" t="s">
        <v>259</v>
      </c>
      <c r="B4" s="190"/>
      <c r="C4" s="190"/>
    </row>
    <row r="5" spans="1:3" ht="19.5" thickBot="1" x14ac:dyDescent="0.3">
      <c r="A5" s="139"/>
    </row>
    <row r="6" spans="1:3" ht="15.75" x14ac:dyDescent="0.25">
      <c r="A6" s="193" t="s">
        <v>38</v>
      </c>
      <c r="B6" s="193" t="s">
        <v>86</v>
      </c>
      <c r="C6" s="140" t="s">
        <v>260</v>
      </c>
    </row>
    <row r="7" spans="1:3" ht="32.25" thickBot="1" x14ac:dyDescent="0.3">
      <c r="A7" s="194"/>
      <c r="B7" s="194"/>
      <c r="C7" s="141" t="s">
        <v>261</v>
      </c>
    </row>
    <row r="8" spans="1:3" ht="15.75" thickBot="1" x14ac:dyDescent="0.3">
      <c r="A8" s="142">
        <v>1</v>
      </c>
      <c r="B8" s="143">
        <v>2</v>
      </c>
      <c r="C8" s="143">
        <v>3</v>
      </c>
    </row>
    <row r="9" spans="1:3" ht="16.5" thickBot="1" x14ac:dyDescent="0.3">
      <c r="A9" s="138" t="s">
        <v>262</v>
      </c>
      <c r="B9" s="141">
        <v>10</v>
      </c>
      <c r="C9" s="145">
        <v>0</v>
      </c>
    </row>
    <row r="10" spans="1:3" ht="16.5" thickBot="1" x14ac:dyDescent="0.3">
      <c r="A10" s="138" t="s">
        <v>263</v>
      </c>
      <c r="B10" s="141">
        <v>20</v>
      </c>
      <c r="C10" s="145">
        <v>0</v>
      </c>
    </row>
    <row r="11" spans="1:3" ht="16.5" thickBot="1" x14ac:dyDescent="0.3">
      <c r="A11" s="138" t="s">
        <v>264</v>
      </c>
      <c r="B11" s="141">
        <v>30</v>
      </c>
      <c r="C11" s="145">
        <v>0</v>
      </c>
    </row>
    <row r="12" spans="1:3" ht="16.5" thickBot="1" x14ac:dyDescent="0.3">
      <c r="A12" s="138"/>
      <c r="B12" s="130"/>
      <c r="C12" s="145"/>
    </row>
    <row r="13" spans="1:3" ht="16.5" thickBot="1" x14ac:dyDescent="0.3">
      <c r="A13" s="138" t="s">
        <v>265</v>
      </c>
      <c r="B13" s="141">
        <v>40</v>
      </c>
      <c r="C13" s="145">
        <v>0</v>
      </c>
    </row>
    <row r="14" spans="1:3" ht="16.5" thickBot="1" x14ac:dyDescent="0.3">
      <c r="A14" s="138"/>
      <c r="B14" s="130"/>
      <c r="C14" s="145"/>
    </row>
  </sheetData>
  <mergeCells count="6">
    <mergeCell ref="A1:C1"/>
    <mergeCell ref="A2:C2"/>
    <mergeCell ref="A3:C3"/>
    <mergeCell ref="A4:C4"/>
    <mergeCell ref="A6:A7"/>
    <mergeCell ref="B6:B7"/>
  </mergeCells>
  <pageMargins left="0.7" right="0.7" top="0.75" bottom="0.75" header="0.3" footer="0.3"/>
  <pageSetup paperSize="9"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A23" sqref="A23"/>
    </sheetView>
  </sheetViews>
  <sheetFormatPr defaultRowHeight="15" x14ac:dyDescent="0.25"/>
  <cols>
    <col min="1" max="1" width="55" customWidth="1"/>
    <col min="2" max="2" width="12.85546875" customWidth="1"/>
    <col min="3" max="3" width="26.5703125" customWidth="1"/>
    <col min="4" max="5" width="27.5703125" customWidth="1"/>
  </cols>
  <sheetData>
    <row r="1" spans="1:5" ht="18.75" x14ac:dyDescent="0.25">
      <c r="A1" s="188" t="s">
        <v>266</v>
      </c>
      <c r="B1" s="188"/>
      <c r="C1" s="188"/>
      <c r="D1" s="188"/>
      <c r="E1" s="188"/>
    </row>
    <row r="2" spans="1:5" ht="19.5" thickBot="1" x14ac:dyDescent="0.3">
      <c r="A2" s="139"/>
    </row>
    <row r="3" spans="1:5" ht="16.5" thickBot="1" x14ac:dyDescent="0.3">
      <c r="A3" s="193" t="s">
        <v>38</v>
      </c>
      <c r="B3" s="193" t="s">
        <v>86</v>
      </c>
      <c r="C3" s="237" t="s">
        <v>267</v>
      </c>
      <c r="D3" s="238"/>
      <c r="E3" s="239"/>
    </row>
    <row r="4" spans="1:5" ht="16.5" thickBot="1" x14ac:dyDescent="0.3">
      <c r="A4" s="194"/>
      <c r="B4" s="194"/>
      <c r="C4" s="141" t="s">
        <v>268</v>
      </c>
      <c r="D4" s="141" t="s">
        <v>269</v>
      </c>
      <c r="E4" s="141" t="s">
        <v>270</v>
      </c>
    </row>
    <row r="5" spans="1:5" ht="15.75" thickBot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</row>
    <row r="6" spans="1:5" ht="16.5" thickBot="1" x14ac:dyDescent="0.3">
      <c r="A6" s="138" t="s">
        <v>271</v>
      </c>
      <c r="B6" s="141">
        <v>10</v>
      </c>
      <c r="C6" s="145">
        <v>0</v>
      </c>
      <c r="D6" s="145">
        <v>0</v>
      </c>
      <c r="E6" s="145">
        <v>0</v>
      </c>
    </row>
    <row r="7" spans="1:5" ht="75" customHeight="1" thickBot="1" x14ac:dyDescent="0.3">
      <c r="A7" s="138" t="s">
        <v>272</v>
      </c>
      <c r="B7" s="141">
        <v>20</v>
      </c>
      <c r="C7" s="145">
        <v>0</v>
      </c>
      <c r="D7" s="145">
        <v>0</v>
      </c>
      <c r="E7" s="145">
        <v>0</v>
      </c>
    </row>
    <row r="8" spans="1:5" ht="32.25" thickBot="1" x14ac:dyDescent="0.3">
      <c r="A8" s="138" t="s">
        <v>273</v>
      </c>
      <c r="B8" s="141">
        <v>30</v>
      </c>
      <c r="C8" s="145">
        <v>0</v>
      </c>
      <c r="D8" s="145">
        <v>0</v>
      </c>
      <c r="E8" s="145">
        <v>0</v>
      </c>
    </row>
    <row r="9" spans="1:5" ht="18.75" x14ac:dyDescent="0.25">
      <c r="A9" s="139"/>
    </row>
    <row r="10" spans="1:5" ht="18.75" x14ac:dyDescent="0.25">
      <c r="A10" s="139"/>
    </row>
    <row r="11" spans="1:5" x14ac:dyDescent="0.25">
      <c r="A11" s="236" t="s">
        <v>281</v>
      </c>
      <c r="B11" s="236"/>
      <c r="C11" s="236"/>
      <c r="D11" s="236"/>
      <c r="E11" s="236"/>
    </row>
    <row r="12" spans="1:5" x14ac:dyDescent="0.25">
      <c r="A12" s="144" t="s">
        <v>274</v>
      </c>
      <c r="B12" s="144"/>
      <c r="C12" s="144"/>
    </row>
    <row r="13" spans="1:5" x14ac:dyDescent="0.25">
      <c r="A13" s="50" t="s">
        <v>275</v>
      </c>
    </row>
    <row r="14" spans="1:5" x14ac:dyDescent="0.25">
      <c r="A14" s="144" t="s">
        <v>282</v>
      </c>
      <c r="B14" s="144"/>
    </row>
    <row r="15" spans="1:5" x14ac:dyDescent="0.25">
      <c r="A15" s="144" t="s">
        <v>276</v>
      </c>
      <c r="B15" s="144"/>
    </row>
    <row r="16" spans="1:5" x14ac:dyDescent="0.25">
      <c r="A16" s="50"/>
    </row>
    <row r="17" spans="1:3" x14ac:dyDescent="0.25">
      <c r="A17" s="240" t="s">
        <v>283</v>
      </c>
      <c r="B17" s="240"/>
      <c r="C17" s="240"/>
    </row>
    <row r="18" spans="1:3" x14ac:dyDescent="0.25">
      <c r="A18" s="236" t="s">
        <v>284</v>
      </c>
      <c r="B18" s="236"/>
      <c r="C18" s="236"/>
    </row>
    <row r="19" spans="1:3" x14ac:dyDescent="0.25">
      <c r="A19" s="50" t="s">
        <v>277</v>
      </c>
    </row>
    <row r="20" spans="1:3" x14ac:dyDescent="0.25">
      <c r="A20" s="144" t="s">
        <v>285</v>
      </c>
    </row>
  </sheetData>
  <mergeCells count="7">
    <mergeCell ref="A18:C18"/>
    <mergeCell ref="A1:E1"/>
    <mergeCell ref="A3:A4"/>
    <mergeCell ref="B3:B4"/>
    <mergeCell ref="C3:E3"/>
    <mergeCell ref="A11:E11"/>
    <mergeCell ref="A17:C17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topLeftCell="A25" zoomScaleNormal="100" zoomScaleSheetLayoutView="100" workbookViewId="0">
      <selection activeCell="C38" sqref="C38"/>
    </sheetView>
  </sheetViews>
  <sheetFormatPr defaultRowHeight="15.75" x14ac:dyDescent="0.25"/>
  <cols>
    <col min="1" max="1" width="5.7109375" style="14" customWidth="1"/>
    <col min="2" max="2" width="61.7109375" style="13" customWidth="1"/>
    <col min="3" max="3" width="21.7109375" style="13" customWidth="1"/>
    <col min="4" max="16384" width="9.140625" style="13"/>
  </cols>
  <sheetData>
    <row r="1" spans="1:3" ht="47.25" customHeight="1" x14ac:dyDescent="0.25">
      <c r="A1" s="185" t="s">
        <v>71</v>
      </c>
      <c r="B1" s="185"/>
      <c r="C1" s="185"/>
    </row>
    <row r="2" spans="1:3" ht="17.25" customHeight="1" x14ac:dyDescent="0.25">
      <c r="A2" s="181" t="s">
        <v>32</v>
      </c>
      <c r="B2" s="182"/>
      <c r="C2" s="182"/>
    </row>
    <row r="3" spans="1:3" x14ac:dyDescent="0.25">
      <c r="A3" s="184" t="s">
        <v>352</v>
      </c>
      <c r="B3" s="184"/>
      <c r="C3" s="184"/>
    </row>
    <row r="4" spans="1:3" ht="14.25" customHeight="1" x14ac:dyDescent="0.25">
      <c r="A4" s="184"/>
      <c r="B4" s="184"/>
      <c r="C4" s="184"/>
    </row>
    <row r="5" spans="1:3" x14ac:dyDescent="0.25">
      <c r="A5" s="184" t="s">
        <v>353</v>
      </c>
      <c r="B5" s="184"/>
      <c r="C5" s="184"/>
    </row>
    <row r="6" spans="1:3" ht="15.75" customHeight="1" x14ac:dyDescent="0.25">
      <c r="A6" s="184"/>
      <c r="B6" s="184"/>
      <c r="C6" s="184"/>
    </row>
    <row r="7" spans="1:3" x14ac:dyDescent="0.25">
      <c r="A7" s="184" t="s">
        <v>355</v>
      </c>
      <c r="B7" s="184"/>
      <c r="C7" s="184"/>
    </row>
    <row r="8" spans="1:3" ht="15" customHeight="1" x14ac:dyDescent="0.25">
      <c r="A8" s="184"/>
      <c r="B8" s="184"/>
      <c r="C8" s="184"/>
    </row>
    <row r="9" spans="1:3" x14ac:dyDescent="0.25">
      <c r="A9" s="184" t="s">
        <v>354</v>
      </c>
      <c r="B9" s="184"/>
      <c r="C9" s="184"/>
    </row>
    <row r="10" spans="1:3" x14ac:dyDescent="0.25">
      <c r="C10" s="60"/>
    </row>
    <row r="11" spans="1:3" ht="33" customHeight="1" x14ac:dyDescent="0.25">
      <c r="A11" s="181" t="s">
        <v>72</v>
      </c>
      <c r="B11" s="182"/>
      <c r="C11" s="182"/>
    </row>
    <row r="12" spans="1:3" ht="33.75" customHeight="1" x14ac:dyDescent="0.25">
      <c r="A12" s="183" t="s">
        <v>107</v>
      </c>
      <c r="B12" s="183"/>
      <c r="C12" s="183"/>
    </row>
    <row r="13" spans="1:3" ht="33.75" customHeight="1" x14ac:dyDescent="0.25">
      <c r="A13" s="183" t="s">
        <v>108</v>
      </c>
      <c r="B13" s="183"/>
      <c r="C13" s="183"/>
    </row>
    <row r="14" spans="1:3" ht="33.75" customHeight="1" x14ac:dyDescent="0.25">
      <c r="A14" s="183" t="s">
        <v>109</v>
      </c>
      <c r="B14" s="183"/>
      <c r="C14" s="183"/>
    </row>
    <row r="15" spans="1:3" ht="30.75" customHeight="1" x14ac:dyDescent="0.25">
      <c r="A15" s="183" t="s">
        <v>110</v>
      </c>
      <c r="B15" s="183"/>
      <c r="C15" s="183"/>
    </row>
    <row r="16" spans="1:3" ht="31.5" customHeight="1" x14ac:dyDescent="0.25">
      <c r="A16" s="184" t="s">
        <v>111</v>
      </c>
      <c r="B16" s="184"/>
      <c r="C16" s="184"/>
    </row>
    <row r="17" spans="1:3" ht="35.25" customHeight="1" x14ac:dyDescent="0.25">
      <c r="A17" s="184" t="s">
        <v>112</v>
      </c>
      <c r="B17" s="184"/>
      <c r="C17" s="184"/>
    </row>
    <row r="18" spans="1:3" ht="33.75" customHeight="1" x14ac:dyDescent="0.25">
      <c r="A18" s="184" t="s">
        <v>113</v>
      </c>
      <c r="B18" s="184"/>
      <c r="C18" s="184"/>
    </row>
    <row r="19" spans="1:3" ht="15" customHeight="1" x14ac:dyDescent="0.25">
      <c r="A19" s="183" t="s">
        <v>114</v>
      </c>
      <c r="B19" s="183"/>
      <c r="C19" s="183"/>
    </row>
    <row r="20" spans="1:3" ht="32.25" customHeight="1" x14ac:dyDescent="0.25">
      <c r="A20" s="183" t="s">
        <v>115</v>
      </c>
      <c r="B20" s="183"/>
      <c r="C20" s="183"/>
    </row>
    <row r="21" spans="1:3" ht="36" customHeight="1" x14ac:dyDescent="0.25">
      <c r="A21" s="181" t="s">
        <v>116</v>
      </c>
      <c r="B21" s="182"/>
      <c r="C21" s="182"/>
    </row>
    <row r="22" spans="1:3" ht="33" customHeight="1" x14ac:dyDescent="0.25">
      <c r="A22" s="184" t="s">
        <v>117</v>
      </c>
      <c r="B22" s="184"/>
      <c r="C22" s="184"/>
    </row>
    <row r="23" spans="1:3" ht="47.25" customHeight="1" x14ac:dyDescent="0.25">
      <c r="A23" s="184" t="s">
        <v>118</v>
      </c>
      <c r="B23" s="184"/>
      <c r="C23" s="184"/>
    </row>
    <row r="24" spans="1:3" ht="48.75" customHeight="1" x14ac:dyDescent="0.25">
      <c r="A24" s="184" t="s">
        <v>119</v>
      </c>
      <c r="B24" s="184"/>
      <c r="C24" s="184"/>
    </row>
    <row r="25" spans="1:3" ht="33.75" customHeight="1" x14ac:dyDescent="0.25">
      <c r="A25" s="184" t="s">
        <v>120</v>
      </c>
      <c r="B25" s="184"/>
      <c r="C25" s="184"/>
    </row>
    <row r="26" spans="1:3" x14ac:dyDescent="0.25">
      <c r="A26" s="181" t="s">
        <v>33</v>
      </c>
      <c r="B26" s="182"/>
      <c r="C26" s="182"/>
    </row>
    <row r="27" spans="1:3" ht="31.5" x14ac:dyDescent="0.25">
      <c r="A27" s="16" t="s">
        <v>20</v>
      </c>
      <c r="B27" s="16" t="s">
        <v>21</v>
      </c>
      <c r="C27" s="16" t="s">
        <v>22</v>
      </c>
    </row>
    <row r="28" spans="1:3" ht="31.5" x14ac:dyDescent="0.25">
      <c r="A28" s="16">
        <v>1</v>
      </c>
      <c r="B28" s="15" t="s">
        <v>23</v>
      </c>
      <c r="C28" s="61">
        <v>35542027.840000004</v>
      </c>
    </row>
    <row r="29" spans="1:3" ht="78.75" x14ac:dyDescent="0.25">
      <c r="A29" s="17" t="s">
        <v>24</v>
      </c>
      <c r="B29" s="15" t="s">
        <v>144</v>
      </c>
      <c r="C29" s="61">
        <v>35542027.840000004</v>
      </c>
    </row>
    <row r="30" spans="1:3" ht="47.25" x14ac:dyDescent="0.25">
      <c r="A30" s="17" t="s">
        <v>25</v>
      </c>
      <c r="B30" s="15" t="s">
        <v>26</v>
      </c>
      <c r="C30" s="158">
        <v>52537260.380000003</v>
      </c>
    </row>
    <row r="31" spans="1:3" ht="47.25" x14ac:dyDescent="0.25">
      <c r="A31" s="17" t="s">
        <v>27</v>
      </c>
      <c r="B31" s="15" t="s">
        <v>28</v>
      </c>
      <c r="C31" s="158">
        <v>2747351.4</v>
      </c>
    </row>
    <row r="32" spans="1:3" ht="47.25" x14ac:dyDescent="0.25">
      <c r="A32" s="17" t="s">
        <v>29</v>
      </c>
      <c r="B32" s="15" t="s">
        <v>30</v>
      </c>
      <c r="C32" s="62">
        <v>1</v>
      </c>
    </row>
    <row r="33" spans="1:3" ht="63" x14ac:dyDescent="0.25">
      <c r="A33" s="17" t="s">
        <v>31</v>
      </c>
      <c r="B33" s="15" t="s">
        <v>143</v>
      </c>
      <c r="C33" s="61">
        <v>3408.7</v>
      </c>
    </row>
    <row r="35" spans="1:3" x14ac:dyDescent="0.25">
      <c r="A35" s="181" t="s">
        <v>34</v>
      </c>
      <c r="B35" s="182"/>
      <c r="C35" s="182"/>
    </row>
    <row r="36" spans="1:3" ht="31.5" x14ac:dyDescent="0.25">
      <c r="A36" s="16" t="s">
        <v>20</v>
      </c>
      <c r="B36" s="16" t="s">
        <v>21</v>
      </c>
      <c r="C36" s="16" t="s">
        <v>22</v>
      </c>
    </row>
    <row r="37" spans="1:3" ht="31.5" x14ac:dyDescent="0.25">
      <c r="A37" s="16">
        <v>1</v>
      </c>
      <c r="B37" s="15" t="s">
        <v>35</v>
      </c>
      <c r="C37" s="161">
        <v>19742583.940000001</v>
      </c>
    </row>
    <row r="38" spans="1:3" ht="31.5" x14ac:dyDescent="0.25">
      <c r="A38" s="17" t="s">
        <v>36</v>
      </c>
      <c r="B38" s="15" t="s">
        <v>37</v>
      </c>
      <c r="C38" s="161">
        <v>15548898.949999999</v>
      </c>
    </row>
    <row r="39" spans="1:3" x14ac:dyDescent="0.25">
      <c r="C39" s="60"/>
    </row>
  </sheetData>
  <mergeCells count="23">
    <mergeCell ref="A1:C1"/>
    <mergeCell ref="A2:C2"/>
    <mergeCell ref="A3:C4"/>
    <mergeCell ref="A11:C11"/>
    <mergeCell ref="A12:C12"/>
    <mergeCell ref="A5:C6"/>
    <mergeCell ref="A7:C8"/>
    <mergeCell ref="A9:C9"/>
    <mergeCell ref="A26:C26"/>
    <mergeCell ref="A35:C35"/>
    <mergeCell ref="A13:C13"/>
    <mergeCell ref="A14:C14"/>
    <mergeCell ref="A15:C15"/>
    <mergeCell ref="A16:C16"/>
    <mergeCell ref="A17:C17"/>
    <mergeCell ref="A23:C23"/>
    <mergeCell ref="A24:C24"/>
    <mergeCell ref="A25:C25"/>
    <mergeCell ref="A18:C18"/>
    <mergeCell ref="A19:C19"/>
    <mergeCell ref="A20:C20"/>
    <mergeCell ref="A21:C21"/>
    <mergeCell ref="A22:C22"/>
  </mergeCells>
  <phoneticPr fontId="12" type="noConversion"/>
  <pageMargins left="0.78740157480314965" right="0.19685039370078741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4" sqref="B14"/>
    </sheetView>
  </sheetViews>
  <sheetFormatPr defaultRowHeight="15" x14ac:dyDescent="0.25"/>
  <cols>
    <col min="1" max="1" width="52.85546875" customWidth="1"/>
    <col min="2" max="2" width="29.140625" customWidth="1"/>
  </cols>
  <sheetData>
    <row r="1" spans="1:2" ht="18.75" x14ac:dyDescent="0.25">
      <c r="A1" s="188" t="s">
        <v>240</v>
      </c>
      <c r="B1" s="188"/>
    </row>
    <row r="2" spans="1:2" ht="18.75" x14ac:dyDescent="0.25">
      <c r="A2" s="189" t="s">
        <v>356</v>
      </c>
      <c r="B2" s="189"/>
    </row>
    <row r="3" spans="1:2" ht="15.75" x14ac:dyDescent="0.25">
      <c r="A3" s="190" t="s">
        <v>286</v>
      </c>
      <c r="B3" s="190"/>
    </row>
    <row r="4" spans="1:2" ht="15.75" thickBot="1" x14ac:dyDescent="0.3">
      <c r="A4" s="126"/>
    </row>
    <row r="5" spans="1:2" ht="16.5" thickBot="1" x14ac:dyDescent="0.3">
      <c r="A5" s="127" t="s">
        <v>38</v>
      </c>
      <c r="B5" s="128" t="s">
        <v>241</v>
      </c>
    </row>
    <row r="6" spans="1:2" ht="16.5" thickBot="1" x14ac:dyDescent="0.3">
      <c r="A6" s="129" t="s">
        <v>242</v>
      </c>
      <c r="B6" s="162">
        <f>B7+B11</f>
        <v>51013.426790000005</v>
      </c>
    </row>
    <row r="7" spans="1:2" ht="15.75" x14ac:dyDescent="0.25">
      <c r="A7" s="131" t="s">
        <v>99</v>
      </c>
      <c r="B7" s="186">
        <v>35542.027840000002</v>
      </c>
    </row>
    <row r="8" spans="1:2" ht="16.5" thickBot="1" x14ac:dyDescent="0.3">
      <c r="A8" s="132" t="s">
        <v>243</v>
      </c>
      <c r="B8" s="187"/>
    </row>
    <row r="9" spans="1:2" ht="15.75" x14ac:dyDescent="0.25">
      <c r="A9" s="133" t="s">
        <v>39</v>
      </c>
      <c r="B9" s="186">
        <v>15708.516229999999</v>
      </c>
    </row>
    <row r="10" spans="1:2" ht="16.5" thickBot="1" x14ac:dyDescent="0.3">
      <c r="A10" s="134" t="s">
        <v>244</v>
      </c>
      <c r="B10" s="187"/>
    </row>
    <row r="11" spans="1:2" ht="16.5" thickBot="1" x14ac:dyDescent="0.3">
      <c r="A11" s="135" t="s">
        <v>245</v>
      </c>
      <c r="B11" s="162">
        <v>15471.398950000001</v>
      </c>
    </row>
    <row r="12" spans="1:2" ht="15.75" x14ac:dyDescent="0.25">
      <c r="A12" s="133" t="s">
        <v>39</v>
      </c>
      <c r="B12" s="186">
        <v>1883.6980100000001</v>
      </c>
    </row>
    <row r="13" spans="1:2" ht="16.5" thickBot="1" x14ac:dyDescent="0.3">
      <c r="A13" s="134" t="s">
        <v>244</v>
      </c>
      <c r="B13" s="187"/>
    </row>
    <row r="14" spans="1:2" ht="16.5" thickBot="1" x14ac:dyDescent="0.3">
      <c r="A14" s="129" t="s">
        <v>246</v>
      </c>
      <c r="B14" s="162">
        <f>B15+B21+B22+B23</f>
        <v>347.02038999999996</v>
      </c>
    </row>
    <row r="15" spans="1:2" ht="15.75" x14ac:dyDescent="0.25">
      <c r="A15" s="131" t="s">
        <v>99</v>
      </c>
      <c r="B15" s="186">
        <v>277.44324999999998</v>
      </c>
    </row>
    <row r="16" spans="1:2" ht="16.5" thickBot="1" x14ac:dyDescent="0.3">
      <c r="A16" s="132" t="s">
        <v>247</v>
      </c>
      <c r="B16" s="187"/>
    </row>
    <row r="17" spans="1:2" ht="15.75" x14ac:dyDescent="0.25">
      <c r="A17" s="136" t="s">
        <v>39</v>
      </c>
      <c r="B17" s="186">
        <v>277.44324999999998</v>
      </c>
    </row>
    <row r="18" spans="1:2" ht="16.5" thickBot="1" x14ac:dyDescent="0.3">
      <c r="A18" s="137" t="s">
        <v>248</v>
      </c>
      <c r="B18" s="187"/>
    </row>
    <row r="19" spans="1:2" ht="16.5" thickBot="1" x14ac:dyDescent="0.3">
      <c r="A19" s="138"/>
      <c r="B19" s="160"/>
    </row>
    <row r="20" spans="1:2" ht="48" thickBot="1" x14ac:dyDescent="0.3">
      <c r="A20" s="137" t="s">
        <v>249</v>
      </c>
      <c r="B20" s="162">
        <v>0</v>
      </c>
    </row>
    <row r="21" spans="1:2" ht="16.5" thickBot="1" x14ac:dyDescent="0.3">
      <c r="A21" s="132" t="s">
        <v>250</v>
      </c>
      <c r="B21" s="162">
        <v>0</v>
      </c>
    </row>
    <row r="22" spans="1:2" ht="16.5" thickBot="1" x14ac:dyDescent="0.3">
      <c r="A22" s="132" t="s">
        <v>251</v>
      </c>
      <c r="B22" s="162">
        <v>0</v>
      </c>
    </row>
    <row r="23" spans="1:2" ht="16.5" thickBot="1" x14ac:dyDescent="0.3">
      <c r="A23" s="132" t="s">
        <v>252</v>
      </c>
      <c r="B23" s="162">
        <v>69.57714</v>
      </c>
    </row>
    <row r="24" spans="1:2" ht="16.5" thickBot="1" x14ac:dyDescent="0.3">
      <c r="A24" s="129" t="s">
        <v>253</v>
      </c>
      <c r="B24" s="162">
        <f>B25+B27</f>
        <v>0</v>
      </c>
    </row>
    <row r="25" spans="1:2" ht="15.75" x14ac:dyDescent="0.25">
      <c r="A25" s="131" t="s">
        <v>99</v>
      </c>
      <c r="B25" s="186">
        <v>0</v>
      </c>
    </row>
    <row r="26" spans="1:2" ht="16.5" thickBot="1" x14ac:dyDescent="0.3">
      <c r="A26" s="132" t="s">
        <v>254</v>
      </c>
      <c r="B26" s="187"/>
    </row>
    <row r="27" spans="1:2" ht="16.5" thickBot="1" x14ac:dyDescent="0.3">
      <c r="A27" s="132" t="s">
        <v>255</v>
      </c>
      <c r="B27" s="162">
        <v>0</v>
      </c>
    </row>
    <row r="28" spans="1:2" ht="15.75" x14ac:dyDescent="0.25">
      <c r="A28" s="133" t="s">
        <v>39</v>
      </c>
      <c r="B28" s="186">
        <v>0</v>
      </c>
    </row>
    <row r="29" spans="1:2" ht="16.5" thickBot="1" x14ac:dyDescent="0.3">
      <c r="A29" s="134" t="s">
        <v>256</v>
      </c>
      <c r="B29" s="187"/>
    </row>
  </sheetData>
  <mergeCells count="10">
    <mergeCell ref="B15:B16"/>
    <mergeCell ref="B17:B18"/>
    <mergeCell ref="B25:B26"/>
    <mergeCell ref="B28:B29"/>
    <mergeCell ref="A1:B1"/>
    <mergeCell ref="A2:B2"/>
    <mergeCell ref="A3:B3"/>
    <mergeCell ref="B7:B8"/>
    <mergeCell ref="B9:B10"/>
    <mergeCell ref="B12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Normal="100" workbookViewId="0">
      <selection activeCell="B33" sqref="B33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188" t="s">
        <v>287</v>
      </c>
      <c r="B1" s="188"/>
      <c r="C1" s="188"/>
      <c r="D1" s="188"/>
      <c r="E1" s="188"/>
      <c r="F1" s="188"/>
      <c r="G1" s="188"/>
    </row>
    <row r="2" spans="1:7" ht="18.75" x14ac:dyDescent="0.25">
      <c r="A2" s="188" t="s">
        <v>288</v>
      </c>
      <c r="B2" s="188"/>
      <c r="C2" s="188"/>
      <c r="D2" s="188"/>
      <c r="E2" s="188"/>
      <c r="F2" s="188"/>
      <c r="G2" s="188"/>
    </row>
    <row r="3" spans="1:7" ht="15.75" thickBot="1" x14ac:dyDescent="0.3">
      <c r="A3" s="126"/>
      <c r="B3"/>
      <c r="C3"/>
      <c r="D3"/>
      <c r="E3"/>
      <c r="F3"/>
      <c r="G3"/>
    </row>
    <row r="4" spans="1:7" ht="16.5" customHeight="1" thickBot="1" x14ac:dyDescent="0.3">
      <c r="A4" s="200" t="s">
        <v>38</v>
      </c>
      <c r="B4" s="202" t="s">
        <v>289</v>
      </c>
      <c r="C4" s="203"/>
      <c r="D4" s="202" t="s">
        <v>290</v>
      </c>
      <c r="E4" s="204"/>
      <c r="F4" s="204"/>
      <c r="G4" s="203"/>
    </row>
    <row r="5" spans="1:7" ht="15" customHeight="1" x14ac:dyDescent="0.25">
      <c r="A5" s="201"/>
      <c r="B5" s="200" t="s">
        <v>291</v>
      </c>
      <c r="C5" s="200" t="s">
        <v>292</v>
      </c>
      <c r="D5" s="200" t="s">
        <v>293</v>
      </c>
      <c r="E5" s="206" t="s">
        <v>39</v>
      </c>
      <c r="F5" s="207"/>
      <c r="G5" s="208"/>
    </row>
    <row r="6" spans="1:7" ht="15.75" customHeight="1" thickBot="1" x14ac:dyDescent="0.3">
      <c r="A6" s="201"/>
      <c r="B6" s="201"/>
      <c r="C6" s="201"/>
      <c r="D6" s="201"/>
      <c r="E6" s="209"/>
      <c r="F6" s="210"/>
      <c r="G6" s="211"/>
    </row>
    <row r="7" spans="1:7" ht="15" customHeight="1" x14ac:dyDescent="0.25">
      <c r="A7" s="201"/>
      <c r="B7" s="201"/>
      <c r="C7" s="201"/>
      <c r="D7" s="201"/>
      <c r="E7" s="200" t="s">
        <v>294</v>
      </c>
      <c r="F7" s="200" t="s">
        <v>295</v>
      </c>
      <c r="G7" s="200" t="s">
        <v>296</v>
      </c>
    </row>
    <row r="8" spans="1:7" ht="15" customHeight="1" x14ac:dyDescent="0.25">
      <c r="A8" s="201"/>
      <c r="B8" s="201"/>
      <c r="C8" s="201"/>
      <c r="D8" s="201"/>
      <c r="E8" s="201"/>
      <c r="F8" s="201"/>
      <c r="G8" s="201"/>
    </row>
    <row r="9" spans="1:7" ht="90.75" customHeight="1" thickBot="1" x14ac:dyDescent="0.3">
      <c r="A9" s="201"/>
      <c r="B9" s="201"/>
      <c r="C9" s="201"/>
      <c r="D9" s="205"/>
      <c r="E9" s="201"/>
      <c r="F9" s="201"/>
      <c r="G9" s="201"/>
    </row>
    <row r="10" spans="1:7" ht="32.25" customHeight="1" thickBot="1" x14ac:dyDescent="0.3">
      <c r="A10" s="146" t="s">
        <v>297</v>
      </c>
      <c r="B10" s="147"/>
      <c r="C10" s="147"/>
      <c r="D10" s="154">
        <f>E10+F10+G10</f>
        <v>277443.25</v>
      </c>
      <c r="E10" s="154"/>
      <c r="F10" s="154"/>
      <c r="G10" s="155">
        <f>[1]ф.5!H6+[1]ф.6!H5</f>
        <v>277443.25</v>
      </c>
    </row>
    <row r="11" spans="1:7" ht="16.5" thickBot="1" x14ac:dyDescent="0.3">
      <c r="A11" s="129" t="s">
        <v>298</v>
      </c>
      <c r="B11" s="141" t="s">
        <v>148</v>
      </c>
      <c r="C11" s="141"/>
      <c r="D11" s="153">
        <f>E11+F11+G11</f>
        <v>47687396</v>
      </c>
      <c r="E11" s="153">
        <f>E19</f>
        <v>38425760</v>
      </c>
      <c r="F11" s="153">
        <f>F22</f>
        <v>7971000</v>
      </c>
      <c r="G11" s="153">
        <f>SUM(G12:G14)</f>
        <v>1290636</v>
      </c>
    </row>
    <row r="12" spans="1:7" ht="15.75" x14ac:dyDescent="0.25">
      <c r="A12" s="148" t="s">
        <v>39</v>
      </c>
      <c r="B12" s="149"/>
      <c r="C12" s="149"/>
      <c r="D12" s="191">
        <f>G12</f>
        <v>1043028</v>
      </c>
      <c r="E12" s="156"/>
      <c r="F12" s="156"/>
      <c r="G12" s="191">
        <f>[1]ф.6!H6</f>
        <v>1043028</v>
      </c>
    </row>
    <row r="13" spans="1:7" ht="16.5" thickBot="1" x14ac:dyDescent="0.3">
      <c r="A13" s="138" t="s">
        <v>299</v>
      </c>
      <c r="B13" s="141" t="s">
        <v>148</v>
      </c>
      <c r="C13" s="141">
        <v>120</v>
      </c>
      <c r="D13" s="192"/>
      <c r="E13" s="153" t="s">
        <v>148</v>
      </c>
      <c r="F13" s="153" t="s">
        <v>148</v>
      </c>
      <c r="G13" s="192"/>
    </row>
    <row r="14" spans="1:7" ht="16.5" thickBot="1" x14ac:dyDescent="0.3">
      <c r="A14" s="138" t="s">
        <v>300</v>
      </c>
      <c r="B14" s="141" t="s">
        <v>148</v>
      </c>
      <c r="C14" s="141">
        <v>130</v>
      </c>
      <c r="D14" s="153">
        <f>E14+F14+G14</f>
        <v>247608</v>
      </c>
      <c r="E14" s="153">
        <v>0</v>
      </c>
      <c r="F14" s="153">
        <v>0</v>
      </c>
      <c r="G14" s="153">
        <f>G15+G18</f>
        <v>247608</v>
      </c>
    </row>
    <row r="15" spans="1:7" ht="15.75" x14ac:dyDescent="0.25">
      <c r="A15" s="148" t="s">
        <v>301</v>
      </c>
      <c r="B15" s="193" t="s">
        <v>148</v>
      </c>
      <c r="C15" s="193">
        <v>130</v>
      </c>
      <c r="D15" s="191">
        <f>G15</f>
        <v>0</v>
      </c>
      <c r="E15" s="191" t="s">
        <v>148</v>
      </c>
      <c r="F15" s="191" t="s">
        <v>148</v>
      </c>
      <c r="G15" s="191">
        <v>0</v>
      </c>
    </row>
    <row r="16" spans="1:7" ht="15" customHeight="1" x14ac:dyDescent="0.25">
      <c r="A16" s="195" t="s">
        <v>302</v>
      </c>
      <c r="B16" s="198"/>
      <c r="C16" s="198"/>
      <c r="D16" s="199"/>
      <c r="E16" s="199"/>
      <c r="F16" s="199"/>
      <c r="G16" s="199"/>
    </row>
    <row r="17" spans="1:7" ht="67.5" customHeight="1" thickBot="1" x14ac:dyDescent="0.3">
      <c r="A17" s="196"/>
      <c r="B17" s="194"/>
      <c r="C17" s="194"/>
      <c r="D17" s="192"/>
      <c r="E17" s="192"/>
      <c r="F17" s="192"/>
      <c r="G17" s="192"/>
    </row>
    <row r="18" spans="1:7" ht="52.5" customHeight="1" thickBot="1" x14ac:dyDescent="0.3">
      <c r="A18" s="138" t="s">
        <v>303</v>
      </c>
      <c r="B18" s="141" t="s">
        <v>148</v>
      </c>
      <c r="C18" s="141">
        <v>130</v>
      </c>
      <c r="D18" s="153">
        <f>G18</f>
        <v>247608</v>
      </c>
      <c r="E18" s="153" t="s">
        <v>148</v>
      </c>
      <c r="F18" s="153" t="s">
        <v>148</v>
      </c>
      <c r="G18" s="153">
        <f>[1]ф.5!H7</f>
        <v>247608</v>
      </c>
    </row>
    <row r="19" spans="1:7" ht="15" customHeight="1" x14ac:dyDescent="0.25">
      <c r="A19" s="197" t="s">
        <v>304</v>
      </c>
      <c r="B19" s="193" t="s">
        <v>148</v>
      </c>
      <c r="C19" s="193">
        <v>130</v>
      </c>
      <c r="D19" s="191">
        <f>E19</f>
        <v>38425760</v>
      </c>
      <c r="E19" s="191">
        <f>[1]ф.3!F8</f>
        <v>38425760</v>
      </c>
      <c r="F19" s="191" t="s">
        <v>148</v>
      </c>
      <c r="G19" s="191" t="s">
        <v>148</v>
      </c>
    </row>
    <row r="20" spans="1:7" ht="15.75" customHeight="1" thickBot="1" x14ac:dyDescent="0.3">
      <c r="A20" s="196"/>
      <c r="B20" s="194"/>
      <c r="C20" s="194"/>
      <c r="D20" s="192"/>
      <c r="E20" s="192"/>
      <c r="F20" s="192"/>
      <c r="G20" s="192"/>
    </row>
    <row r="21" spans="1:7" ht="32.25" thickBot="1" x14ac:dyDescent="0.3">
      <c r="A21" s="138" t="s">
        <v>305</v>
      </c>
      <c r="B21" s="141" t="s">
        <v>306</v>
      </c>
      <c r="C21" s="141">
        <v>140</v>
      </c>
      <c r="D21" s="153">
        <f>G21</f>
        <v>0</v>
      </c>
      <c r="E21" s="153" t="s">
        <v>148</v>
      </c>
      <c r="F21" s="153" t="s">
        <v>148</v>
      </c>
      <c r="G21" s="153">
        <v>0</v>
      </c>
    </row>
    <row r="22" spans="1:7" ht="32.25" customHeight="1" thickBot="1" x14ac:dyDescent="0.3">
      <c r="A22" s="138" t="s">
        <v>307</v>
      </c>
      <c r="B22" s="141" t="s">
        <v>148</v>
      </c>
      <c r="C22" s="141">
        <v>180</v>
      </c>
      <c r="D22" s="153">
        <f>F22</f>
        <v>7971000</v>
      </c>
      <c r="E22" s="153" t="s">
        <v>148</v>
      </c>
      <c r="F22" s="153">
        <f>[1]ф.4!H9+[1]ф.4!H23+'[1]ф.4 (2)'!H9+'[1]ф.4 (2)'!H23+'[1]ф.4 (3)'!H9+'[1]ф.4 (4)'!H9+'[1]ф.4 (4)'!H26+'[1]ф.4 (5)'!H9+'[1]ф.4 (5)'!H22</f>
        <v>7971000</v>
      </c>
      <c r="G22" s="153" t="s">
        <v>148</v>
      </c>
    </row>
    <row r="23" spans="1:7" ht="16.5" thickBot="1" x14ac:dyDescent="0.3">
      <c r="A23" s="138" t="s">
        <v>308</v>
      </c>
      <c r="B23" s="141" t="s">
        <v>148</v>
      </c>
      <c r="C23" s="141">
        <v>180</v>
      </c>
      <c r="D23" s="153">
        <f>G23</f>
        <v>0</v>
      </c>
      <c r="E23" s="153" t="s">
        <v>148</v>
      </c>
      <c r="F23" s="153" t="s">
        <v>148</v>
      </c>
      <c r="G23" s="153">
        <v>0</v>
      </c>
    </row>
    <row r="24" spans="1:7" ht="16.5" thickBot="1" x14ac:dyDescent="0.3">
      <c r="A24" s="138" t="s">
        <v>309</v>
      </c>
      <c r="B24" s="141" t="s">
        <v>148</v>
      </c>
      <c r="C24" s="141" t="s">
        <v>148</v>
      </c>
      <c r="D24" s="153">
        <f>G24</f>
        <v>0</v>
      </c>
      <c r="E24" s="153" t="s">
        <v>148</v>
      </c>
      <c r="F24" s="153" t="s">
        <v>148</v>
      </c>
      <c r="G24" s="153">
        <v>0</v>
      </c>
    </row>
    <row r="25" spans="1:7" ht="16.5" thickBot="1" x14ac:dyDescent="0.3">
      <c r="A25" s="138"/>
      <c r="B25" s="141"/>
      <c r="C25" s="141"/>
      <c r="D25" s="153"/>
      <c r="E25" s="153"/>
      <c r="F25" s="153"/>
      <c r="G25" s="153"/>
    </row>
    <row r="26" spans="1:7" ht="16.5" thickBot="1" x14ac:dyDescent="0.3">
      <c r="A26" s="129" t="s">
        <v>310</v>
      </c>
      <c r="B26" s="141" t="s">
        <v>148</v>
      </c>
      <c r="C26" s="141" t="s">
        <v>148</v>
      </c>
      <c r="D26" s="153">
        <f>E26+F26+G26</f>
        <v>47964839.25</v>
      </c>
      <c r="E26" s="153">
        <f>E27+E35+E41+E43+E60+E64</f>
        <v>38425760</v>
      </c>
      <c r="F26" s="153">
        <f>F27+F35+F41+F43+F60+F64</f>
        <v>7971000</v>
      </c>
      <c r="G26" s="153">
        <f>G27+G35+G41+G43+G60+G64</f>
        <v>1568079.25</v>
      </c>
    </row>
    <row r="27" spans="1:7" ht="31.5" x14ac:dyDescent="0.25">
      <c r="A27" s="148" t="s">
        <v>311</v>
      </c>
      <c r="B27" s="193">
        <v>100</v>
      </c>
      <c r="C27" s="193" t="s">
        <v>148</v>
      </c>
      <c r="D27" s="191">
        <f>E27+F27+G27</f>
        <v>35800300</v>
      </c>
      <c r="E27" s="191">
        <f>E29</f>
        <v>34309300</v>
      </c>
      <c r="F27" s="191">
        <f>F29</f>
        <v>1439000</v>
      </c>
      <c r="G27" s="191">
        <f>G29</f>
        <v>52000</v>
      </c>
    </row>
    <row r="28" spans="1:7" ht="16.5" thickBot="1" x14ac:dyDescent="0.3">
      <c r="A28" s="138" t="s">
        <v>312</v>
      </c>
      <c r="B28" s="194"/>
      <c r="C28" s="194"/>
      <c r="D28" s="192"/>
      <c r="E28" s="192"/>
      <c r="F28" s="192"/>
      <c r="G28" s="192"/>
    </row>
    <row r="29" spans="1:7" ht="15.75" x14ac:dyDescent="0.25">
      <c r="A29" s="148" t="s">
        <v>313</v>
      </c>
      <c r="B29" s="193">
        <v>110</v>
      </c>
      <c r="C29" s="193">
        <v>210</v>
      </c>
      <c r="D29" s="191">
        <f>E29+F29+G29</f>
        <v>35800300</v>
      </c>
      <c r="E29" s="191">
        <f>SUM(E31:E34)</f>
        <v>34309300</v>
      </c>
      <c r="F29" s="191">
        <f>SUM(F31:F34)</f>
        <v>1439000</v>
      </c>
      <c r="G29" s="191">
        <f>SUM(G31:G34)</f>
        <v>52000</v>
      </c>
    </row>
    <row r="30" spans="1:7" ht="32.25" customHeight="1" thickBot="1" x14ac:dyDescent="0.3">
      <c r="A30" s="138" t="s">
        <v>314</v>
      </c>
      <c r="B30" s="194"/>
      <c r="C30" s="194"/>
      <c r="D30" s="192"/>
      <c r="E30" s="192"/>
      <c r="F30" s="192"/>
      <c r="G30" s="192"/>
    </row>
    <row r="31" spans="1:7" ht="15.75" x14ac:dyDescent="0.25">
      <c r="A31" s="148" t="s">
        <v>301</v>
      </c>
      <c r="B31" s="193">
        <v>111</v>
      </c>
      <c r="C31" s="193">
        <v>211</v>
      </c>
      <c r="D31" s="191">
        <f>E31+F31+G31</f>
        <v>26360400</v>
      </c>
      <c r="E31" s="191">
        <f>[1]ф.3!F11</f>
        <v>26360400</v>
      </c>
      <c r="F31" s="191">
        <v>0</v>
      </c>
      <c r="G31" s="191">
        <v>0</v>
      </c>
    </row>
    <row r="32" spans="1:7" ht="16.5" thickBot="1" x14ac:dyDescent="0.3">
      <c r="A32" s="138" t="s">
        <v>315</v>
      </c>
      <c r="B32" s="194"/>
      <c r="C32" s="194"/>
      <c r="D32" s="192"/>
      <c r="E32" s="192"/>
      <c r="F32" s="192"/>
      <c r="G32" s="192"/>
    </row>
    <row r="33" spans="1:7" ht="39.75" customHeight="1" thickBot="1" x14ac:dyDescent="0.3">
      <c r="A33" s="150" t="s">
        <v>316</v>
      </c>
      <c r="B33" s="141">
        <v>112</v>
      </c>
      <c r="C33" s="141">
        <v>212</v>
      </c>
      <c r="D33" s="153">
        <f t="shared" ref="D33:D44" si="0">E33+F33+G33</f>
        <v>1479700</v>
      </c>
      <c r="E33" s="153">
        <f>[1]ф.3!F12</f>
        <v>38700</v>
      </c>
      <c r="F33" s="153">
        <f>[1]ф.4!H12+[1]ф.4!H26</f>
        <v>1389000</v>
      </c>
      <c r="G33" s="153">
        <f>[1]ф.5!H11+[1]ф.6!H10</f>
        <v>52000</v>
      </c>
    </row>
    <row r="34" spans="1:7" ht="54" customHeight="1" thickBot="1" x14ac:dyDescent="0.3">
      <c r="A34" s="150" t="s">
        <v>317</v>
      </c>
      <c r="B34" s="141">
        <v>119</v>
      </c>
      <c r="C34" s="141">
        <v>213</v>
      </c>
      <c r="D34" s="153">
        <f t="shared" si="0"/>
        <v>7960200</v>
      </c>
      <c r="E34" s="153">
        <f>[1]ф.3!F13</f>
        <v>7910200</v>
      </c>
      <c r="F34" s="153">
        <f>[1]ф.4!H27</f>
        <v>50000</v>
      </c>
      <c r="G34" s="153">
        <v>0</v>
      </c>
    </row>
    <row r="35" spans="1:7" ht="32.25" thickBot="1" x14ac:dyDescent="0.3">
      <c r="A35" s="164" t="s">
        <v>358</v>
      </c>
      <c r="B35" s="147">
        <v>100</v>
      </c>
      <c r="C35" s="147" t="s">
        <v>148</v>
      </c>
      <c r="D35" s="154">
        <f>D36+D39</f>
        <v>11000</v>
      </c>
      <c r="E35" s="154">
        <f>E36+E39</f>
        <v>0</v>
      </c>
      <c r="F35" s="154">
        <f>F36+F39</f>
        <v>11000</v>
      </c>
      <c r="G35" s="154">
        <f>G36+G39</f>
        <v>0</v>
      </c>
    </row>
    <row r="36" spans="1:7" ht="15.75" x14ac:dyDescent="0.25">
      <c r="A36" s="164" t="s">
        <v>359</v>
      </c>
      <c r="B36" s="193">
        <v>111</v>
      </c>
      <c r="C36" s="193" t="s">
        <v>148</v>
      </c>
      <c r="D36" s="191">
        <f>D38</f>
        <v>8000</v>
      </c>
      <c r="E36" s="191">
        <f>E38</f>
        <v>0</v>
      </c>
      <c r="F36" s="191">
        <f>F38</f>
        <v>8000</v>
      </c>
      <c r="G36" s="191">
        <f>G38</f>
        <v>0</v>
      </c>
    </row>
    <row r="37" spans="1:7" ht="16.5" thickBot="1" x14ac:dyDescent="0.3">
      <c r="A37" s="138" t="s">
        <v>315</v>
      </c>
      <c r="B37" s="194"/>
      <c r="C37" s="194"/>
      <c r="D37" s="192"/>
      <c r="E37" s="192"/>
      <c r="F37" s="192"/>
      <c r="G37" s="192"/>
    </row>
    <row r="38" spans="1:7" ht="16.5" thickBot="1" x14ac:dyDescent="0.3">
      <c r="A38" s="165" t="s">
        <v>324</v>
      </c>
      <c r="B38" s="163">
        <v>111</v>
      </c>
      <c r="C38" s="141">
        <v>226</v>
      </c>
      <c r="D38" s="153">
        <f>E38+F38+G38</f>
        <v>8000</v>
      </c>
      <c r="E38" s="153">
        <v>0</v>
      </c>
      <c r="F38" s="153">
        <f>'[1]ф.4 (3)'!H12</f>
        <v>8000</v>
      </c>
      <c r="G38" s="153">
        <v>0</v>
      </c>
    </row>
    <row r="39" spans="1:7" ht="54" customHeight="1" thickBot="1" x14ac:dyDescent="0.3">
      <c r="A39" s="150" t="s">
        <v>317</v>
      </c>
      <c r="B39" s="141">
        <v>119</v>
      </c>
      <c r="C39" s="141" t="s">
        <v>148</v>
      </c>
      <c r="D39" s="153">
        <f t="shared" ref="D39:E39" si="1">D40</f>
        <v>3000</v>
      </c>
      <c r="E39" s="153">
        <f t="shared" si="1"/>
        <v>0</v>
      </c>
      <c r="F39" s="153">
        <f>F40</f>
        <v>3000</v>
      </c>
      <c r="G39" s="153">
        <f>G40</f>
        <v>0</v>
      </c>
    </row>
    <row r="40" spans="1:7" ht="17.25" customHeight="1" thickBot="1" x14ac:dyDescent="0.3">
      <c r="A40" s="165" t="s">
        <v>324</v>
      </c>
      <c r="B40" s="147">
        <v>119</v>
      </c>
      <c r="C40" s="141">
        <v>226</v>
      </c>
      <c r="D40" s="153">
        <f>E40+F40+G40</f>
        <v>3000</v>
      </c>
      <c r="E40" s="153">
        <v>0</v>
      </c>
      <c r="F40" s="153">
        <f>'[1]ф.4 (3)'!H13</f>
        <v>3000</v>
      </c>
      <c r="G40" s="153">
        <v>0</v>
      </c>
    </row>
    <row r="41" spans="1:7" ht="51" customHeight="1" thickBot="1" x14ac:dyDescent="0.3">
      <c r="A41" s="138" t="s">
        <v>348</v>
      </c>
      <c r="B41" s="141">
        <v>113</v>
      </c>
      <c r="C41" s="141" t="s">
        <v>148</v>
      </c>
      <c r="D41" s="153">
        <f t="shared" si="0"/>
        <v>1273650</v>
      </c>
      <c r="E41" s="153">
        <f>E42</f>
        <v>0</v>
      </c>
      <c r="F41" s="153">
        <f t="shared" ref="F41:G41" si="2">F42</f>
        <v>1273650</v>
      </c>
      <c r="G41" s="153">
        <f t="shared" si="2"/>
        <v>0</v>
      </c>
    </row>
    <row r="42" spans="1:7" ht="39.75" customHeight="1" thickBot="1" x14ac:dyDescent="0.3">
      <c r="A42" s="138" t="s">
        <v>349</v>
      </c>
      <c r="B42" s="141">
        <v>113</v>
      </c>
      <c r="C42" s="141">
        <v>290</v>
      </c>
      <c r="D42" s="153">
        <f t="shared" si="0"/>
        <v>1273650</v>
      </c>
      <c r="E42" s="153">
        <v>0</v>
      </c>
      <c r="F42" s="153">
        <f>'[1]ф.4 (3)'!H15</f>
        <v>1273650</v>
      </c>
      <c r="G42" s="153">
        <v>0</v>
      </c>
    </row>
    <row r="43" spans="1:7" ht="39.75" customHeight="1" thickBot="1" x14ac:dyDescent="0.3">
      <c r="A43" s="138" t="s">
        <v>318</v>
      </c>
      <c r="B43" s="141">
        <v>200</v>
      </c>
      <c r="C43" s="141" t="s">
        <v>148</v>
      </c>
      <c r="D43" s="153">
        <f t="shared" si="0"/>
        <v>7551929.25</v>
      </c>
      <c r="E43" s="153">
        <f>E44</f>
        <v>3725460</v>
      </c>
      <c r="F43" s="153">
        <f>F44</f>
        <v>2404185</v>
      </c>
      <c r="G43" s="153">
        <f>G44</f>
        <v>1422284.25</v>
      </c>
    </row>
    <row r="44" spans="1:7" ht="15.75" x14ac:dyDescent="0.25">
      <c r="A44" s="148" t="s">
        <v>319</v>
      </c>
      <c r="B44" s="193">
        <v>240</v>
      </c>
      <c r="C44" s="193" t="s">
        <v>148</v>
      </c>
      <c r="D44" s="191">
        <f t="shared" si="0"/>
        <v>7551929.25</v>
      </c>
      <c r="E44" s="191">
        <f>E46+E50</f>
        <v>3725460</v>
      </c>
      <c r="F44" s="191">
        <f>F46+F50</f>
        <v>2404185</v>
      </c>
      <c r="G44" s="191">
        <f>G46+G50</f>
        <v>1422284.25</v>
      </c>
    </row>
    <row r="45" spans="1:7" ht="48" customHeight="1" thickBot="1" x14ac:dyDescent="0.3">
      <c r="A45" s="138" t="s">
        <v>320</v>
      </c>
      <c r="B45" s="194"/>
      <c r="C45" s="194"/>
      <c r="D45" s="192"/>
      <c r="E45" s="192"/>
      <c r="F45" s="192"/>
      <c r="G45" s="192"/>
    </row>
    <row r="46" spans="1:7" ht="15.75" x14ac:dyDescent="0.25">
      <c r="A46" s="148" t="s">
        <v>301</v>
      </c>
      <c r="B46" s="193">
        <v>243</v>
      </c>
      <c r="C46" s="193" t="s">
        <v>148</v>
      </c>
      <c r="D46" s="191">
        <f>E46+F46+G46</f>
        <v>0</v>
      </c>
      <c r="E46" s="191">
        <f>SUM(E48:E49)</f>
        <v>0</v>
      </c>
      <c r="F46" s="191">
        <f>SUM(F48:F49)</f>
        <v>0</v>
      </c>
      <c r="G46" s="191">
        <f>SUM(G48:G49)</f>
        <v>0</v>
      </c>
    </row>
    <row r="47" spans="1:7" ht="39" customHeight="1" thickBot="1" x14ac:dyDescent="0.3">
      <c r="A47" s="138" t="s">
        <v>321</v>
      </c>
      <c r="B47" s="194"/>
      <c r="C47" s="194"/>
      <c r="D47" s="192"/>
      <c r="E47" s="192"/>
      <c r="F47" s="192"/>
      <c r="G47" s="192"/>
    </row>
    <row r="48" spans="1:7" ht="17.25" customHeight="1" thickBot="1" x14ac:dyDescent="0.3">
      <c r="A48" s="138" t="s">
        <v>322</v>
      </c>
      <c r="B48" s="141" t="s">
        <v>323</v>
      </c>
      <c r="C48" s="141">
        <v>225</v>
      </c>
      <c r="D48" s="153">
        <f>E48+F48+G48</f>
        <v>0</v>
      </c>
      <c r="E48" s="153">
        <v>0</v>
      </c>
      <c r="F48" s="153">
        <v>0</v>
      </c>
      <c r="G48" s="153">
        <v>0</v>
      </c>
    </row>
    <row r="49" spans="1:7" ht="16.5" thickBot="1" x14ac:dyDescent="0.3">
      <c r="A49" s="138" t="s">
        <v>324</v>
      </c>
      <c r="B49" s="141" t="s">
        <v>323</v>
      </c>
      <c r="C49" s="141">
        <v>226</v>
      </c>
      <c r="D49" s="153">
        <f>E49+F49+G49</f>
        <v>0</v>
      </c>
      <c r="E49" s="153">
        <v>0</v>
      </c>
      <c r="F49" s="153">
        <v>0</v>
      </c>
      <c r="G49" s="153">
        <v>0</v>
      </c>
    </row>
    <row r="50" spans="1:7" ht="38.25" customHeight="1" thickBot="1" x14ac:dyDescent="0.3">
      <c r="A50" s="150" t="s">
        <v>325</v>
      </c>
      <c r="B50" s="141">
        <v>244</v>
      </c>
      <c r="C50" s="141" t="s">
        <v>148</v>
      </c>
      <c r="D50" s="153">
        <f>E50+F50+G50</f>
        <v>7551929.25</v>
      </c>
      <c r="E50" s="153">
        <f>SUM(E51:E59)</f>
        <v>3725460</v>
      </c>
      <c r="F50" s="153">
        <f>SUM(F51:F59)</f>
        <v>2404185</v>
      </c>
      <c r="G50" s="153">
        <f>SUM(G51:G59)</f>
        <v>1422284.25</v>
      </c>
    </row>
    <row r="51" spans="1:7" ht="16.5" thickBot="1" x14ac:dyDescent="0.3">
      <c r="A51" s="138" t="s">
        <v>326</v>
      </c>
      <c r="B51" s="141">
        <v>244</v>
      </c>
      <c r="C51" s="141">
        <v>221</v>
      </c>
      <c r="D51" s="153">
        <f t="shared" ref="D51:D59" si="3">E51+F51+G51</f>
        <v>313349.78999999998</v>
      </c>
      <c r="E51" s="153">
        <f>[1]ф.3!F16</f>
        <v>305000</v>
      </c>
      <c r="F51" s="153">
        <v>0</v>
      </c>
      <c r="G51" s="153">
        <f>[1]ф.5!H15+[1]ф.6!H14</f>
        <v>8349.7900000000009</v>
      </c>
    </row>
    <row r="52" spans="1:7" ht="16.5" thickBot="1" x14ac:dyDescent="0.3">
      <c r="A52" s="138" t="s">
        <v>327</v>
      </c>
      <c r="B52" s="141">
        <v>244</v>
      </c>
      <c r="C52" s="141">
        <v>222</v>
      </c>
      <c r="D52" s="153">
        <f t="shared" si="3"/>
        <v>159000</v>
      </c>
      <c r="E52" s="153">
        <f>[1]ф.3!F17</f>
        <v>159000</v>
      </c>
      <c r="F52" s="153">
        <v>0</v>
      </c>
      <c r="G52" s="153">
        <f>[1]ф.5!H16+[1]ф.6!H15</f>
        <v>0</v>
      </c>
    </row>
    <row r="53" spans="1:7" ht="16.5" thickBot="1" x14ac:dyDescent="0.3">
      <c r="A53" s="138" t="s">
        <v>328</v>
      </c>
      <c r="B53" s="141">
        <v>244</v>
      </c>
      <c r="C53" s="141">
        <v>223</v>
      </c>
      <c r="D53" s="153">
        <f t="shared" si="3"/>
        <v>1444204.46</v>
      </c>
      <c r="E53" s="153">
        <f>[1]ф.3!F18</f>
        <v>1140070</v>
      </c>
      <c r="F53" s="153">
        <v>0</v>
      </c>
      <c r="G53" s="153">
        <f>[1]ф.5!H17+[1]ф.6!H16</f>
        <v>304134.45999999996</v>
      </c>
    </row>
    <row r="54" spans="1:7" ht="18" customHeight="1" thickBot="1" x14ac:dyDescent="0.3">
      <c r="A54" s="138" t="s">
        <v>329</v>
      </c>
      <c r="B54" s="141">
        <v>244</v>
      </c>
      <c r="C54" s="141">
        <v>224</v>
      </c>
      <c r="D54" s="153">
        <f t="shared" si="3"/>
        <v>0</v>
      </c>
      <c r="E54" s="153">
        <f>[1]ф.3!F19</f>
        <v>0</v>
      </c>
      <c r="F54" s="153">
        <v>0</v>
      </c>
      <c r="G54" s="153">
        <f>[1]ф.5!H18+[1]ф.6!H17</f>
        <v>0</v>
      </c>
    </row>
    <row r="55" spans="1:7" ht="18.75" customHeight="1" thickBot="1" x14ac:dyDescent="0.3">
      <c r="A55" s="138" t="s">
        <v>322</v>
      </c>
      <c r="B55" s="141" t="s">
        <v>330</v>
      </c>
      <c r="C55" s="141">
        <v>225</v>
      </c>
      <c r="D55" s="153">
        <f t="shared" si="3"/>
        <v>933771.07</v>
      </c>
      <c r="E55" s="153">
        <f>[1]ф.3!F20</f>
        <v>649000</v>
      </c>
      <c r="F55" s="153">
        <f>'[1]ф.4 (2)'!H12+'[1]ф.4 (3)'!H18+'[1]ф.4 (5)'!H25</f>
        <v>36000</v>
      </c>
      <c r="G55" s="153">
        <f>[1]ф.5!H19+[1]ф.6!H18</f>
        <v>248771.06999999998</v>
      </c>
    </row>
    <row r="56" spans="1:7" ht="16.5" thickBot="1" x14ac:dyDescent="0.3">
      <c r="A56" s="138" t="s">
        <v>324</v>
      </c>
      <c r="B56" s="141" t="s">
        <v>330</v>
      </c>
      <c r="C56" s="141">
        <v>226</v>
      </c>
      <c r="D56" s="153">
        <f t="shared" si="3"/>
        <v>2862389.93</v>
      </c>
      <c r="E56" s="153">
        <f>[1]ф.3!F21</f>
        <v>917690</v>
      </c>
      <c r="F56" s="153">
        <f>'[1]ф.4 (2)'!H13+'[1]ф.4 (2)'!H26+'[1]ф.4 (3)'!H19+'[1]ф.4 (4)'!H12+'[1]ф.4 (4)'!H29+'[1]ф.4 (5)'!H12+'[1]ф.4 (5)'!H26</f>
        <v>1588000</v>
      </c>
      <c r="G56" s="153">
        <f>[1]ф.5!H20+[1]ф.6!H19</f>
        <v>356699.93</v>
      </c>
    </row>
    <row r="57" spans="1:7" ht="16.5" thickBot="1" x14ac:dyDescent="0.3">
      <c r="A57" s="138" t="s">
        <v>331</v>
      </c>
      <c r="B57" s="141">
        <v>244</v>
      </c>
      <c r="C57" s="141">
        <v>290</v>
      </c>
      <c r="D57" s="153">
        <f t="shared" si="3"/>
        <v>286265</v>
      </c>
      <c r="E57" s="153">
        <f>[1]ф.3!F22</f>
        <v>0</v>
      </c>
      <c r="F57" s="153">
        <f>'[1]ф.4 (2)'!H27+'[1]ф.4 (3)'!H20+'[1]ф.4 (4)'!H13+'[1]ф.4 (4)'!H30</f>
        <v>266265</v>
      </c>
      <c r="G57" s="153">
        <f>[1]ф.5!H21+[1]ф.6!H20</f>
        <v>20000</v>
      </c>
    </row>
    <row r="58" spans="1:7" ht="16.5" thickBot="1" x14ac:dyDescent="0.3">
      <c r="A58" s="138" t="s">
        <v>332</v>
      </c>
      <c r="B58" s="141">
        <v>244</v>
      </c>
      <c r="C58" s="141">
        <v>310</v>
      </c>
      <c r="D58" s="153">
        <f t="shared" si="3"/>
        <v>245529</v>
      </c>
      <c r="E58" s="153">
        <f>[1]ф.3!F24</f>
        <v>0</v>
      </c>
      <c r="F58" s="153">
        <v>0</v>
      </c>
      <c r="G58" s="153">
        <f>[1]ф.5!H23+[1]ф.6!H22</f>
        <v>245529</v>
      </c>
    </row>
    <row r="59" spans="1:7" ht="18.75" customHeight="1" thickBot="1" x14ac:dyDescent="0.3">
      <c r="A59" s="138" t="s">
        <v>333</v>
      </c>
      <c r="B59" s="141">
        <v>244</v>
      </c>
      <c r="C59" s="141">
        <v>340</v>
      </c>
      <c r="D59" s="153">
        <f t="shared" si="3"/>
        <v>1307420</v>
      </c>
      <c r="E59" s="153">
        <f>[1]ф.3!F25</f>
        <v>554700</v>
      </c>
      <c r="F59" s="153">
        <f>'[1]ф.4 (2)'!H28+'[1]ф.4 (3)'!H23+'[1]ф.4 (4)'!H14+'[1]ф.4 (4)'!H31</f>
        <v>513920</v>
      </c>
      <c r="G59" s="153">
        <f>[1]ф.5!H24+[1]ф.6!H23</f>
        <v>238800</v>
      </c>
    </row>
    <row r="60" spans="1:7" ht="23.25" customHeight="1" thickBot="1" x14ac:dyDescent="0.3">
      <c r="A60" s="151" t="s">
        <v>334</v>
      </c>
      <c r="B60" s="141">
        <v>300</v>
      </c>
      <c r="C60" s="141" t="s">
        <v>148</v>
      </c>
      <c r="D60" s="153">
        <f>E60+F60+G60</f>
        <v>2848165</v>
      </c>
      <c r="E60" s="153">
        <f>E61</f>
        <v>0</v>
      </c>
      <c r="F60" s="153">
        <f>F61</f>
        <v>2843165</v>
      </c>
      <c r="G60" s="153">
        <f>G61</f>
        <v>5000</v>
      </c>
    </row>
    <row r="61" spans="1:7" ht="15" customHeight="1" x14ac:dyDescent="0.25">
      <c r="A61" s="152" t="s">
        <v>319</v>
      </c>
      <c r="B61" s="193">
        <v>350</v>
      </c>
      <c r="C61" s="193" t="s">
        <v>148</v>
      </c>
      <c r="D61" s="191">
        <f>E61+F61+G61</f>
        <v>2848165</v>
      </c>
      <c r="E61" s="191">
        <f>E63</f>
        <v>0</v>
      </c>
      <c r="F61" s="191">
        <f>F63</f>
        <v>2843165</v>
      </c>
      <c r="G61" s="191">
        <f>G63</f>
        <v>5000</v>
      </c>
    </row>
    <row r="62" spans="1:7" ht="15.75" customHeight="1" thickBot="1" x14ac:dyDescent="0.3">
      <c r="A62" s="151" t="s">
        <v>335</v>
      </c>
      <c r="B62" s="194"/>
      <c r="C62" s="194"/>
      <c r="D62" s="192"/>
      <c r="E62" s="192"/>
      <c r="F62" s="192"/>
      <c r="G62" s="192"/>
    </row>
    <row r="63" spans="1:7" ht="16.5" thickBot="1" x14ac:dyDescent="0.3">
      <c r="A63" s="151" t="s">
        <v>331</v>
      </c>
      <c r="B63" s="141">
        <v>350</v>
      </c>
      <c r="C63" s="141">
        <v>290</v>
      </c>
      <c r="D63" s="153">
        <f>E63+F63+G63</f>
        <v>2848165</v>
      </c>
      <c r="E63" s="153">
        <v>0</v>
      </c>
      <c r="F63" s="153">
        <f>'[1]ф.4 (2)'!H30+'[1]ф.4 (3)'!G29+'[1]ф.4 (4)'!H16+'[1]ф.4 (4)'!H33</f>
        <v>2843165</v>
      </c>
      <c r="G63" s="153">
        <f>[1]ф.6!H29</f>
        <v>5000</v>
      </c>
    </row>
    <row r="64" spans="1:7" ht="16.5" thickBot="1" x14ac:dyDescent="0.3">
      <c r="A64" s="151" t="s">
        <v>336</v>
      </c>
      <c r="B64" s="141">
        <v>800</v>
      </c>
      <c r="C64" s="141" t="s">
        <v>148</v>
      </c>
      <c r="D64" s="153">
        <f>E64+F64+G64</f>
        <v>479795</v>
      </c>
      <c r="E64" s="153">
        <f>SUM(E65+E68+E70)</f>
        <v>391000</v>
      </c>
      <c r="F64" s="153">
        <f>F65+F68+F70</f>
        <v>0</v>
      </c>
      <c r="G64" s="153">
        <f>G65+G68+G70</f>
        <v>88795</v>
      </c>
    </row>
    <row r="65" spans="1:7" ht="15" customHeight="1" x14ac:dyDescent="0.25">
      <c r="A65" s="152" t="s">
        <v>319</v>
      </c>
      <c r="B65" s="193">
        <v>851</v>
      </c>
      <c r="C65" s="193" t="s">
        <v>148</v>
      </c>
      <c r="D65" s="191">
        <f>E65+F65+G65</f>
        <v>404926.13</v>
      </c>
      <c r="E65" s="191">
        <f>E67</f>
        <v>381000</v>
      </c>
      <c r="F65" s="191">
        <f>F67</f>
        <v>0</v>
      </c>
      <c r="G65" s="191">
        <f>G67</f>
        <v>23926.13</v>
      </c>
    </row>
    <row r="66" spans="1:7" ht="15.75" customHeight="1" thickBot="1" x14ac:dyDescent="0.3">
      <c r="A66" s="151" t="s">
        <v>337</v>
      </c>
      <c r="B66" s="194"/>
      <c r="C66" s="194"/>
      <c r="D66" s="192"/>
      <c r="E66" s="192"/>
      <c r="F66" s="192"/>
      <c r="G66" s="192"/>
    </row>
    <row r="67" spans="1:7" ht="16.5" thickBot="1" x14ac:dyDescent="0.3">
      <c r="A67" s="151" t="s">
        <v>331</v>
      </c>
      <c r="B67" s="141">
        <v>851</v>
      </c>
      <c r="C67" s="141">
        <v>290</v>
      </c>
      <c r="D67" s="153">
        <f>E67+F67+G67</f>
        <v>404926.13</v>
      </c>
      <c r="E67" s="153">
        <f>[1]ф.3!F31</f>
        <v>381000</v>
      </c>
      <c r="F67" s="153">
        <v>0</v>
      </c>
      <c r="G67" s="153">
        <f>[1]ф.5!H30+[1]ф.6!H31</f>
        <v>23926.13</v>
      </c>
    </row>
    <row r="68" spans="1:7" ht="16.5" thickBot="1" x14ac:dyDescent="0.3">
      <c r="A68" s="151" t="s">
        <v>338</v>
      </c>
      <c r="B68" s="141">
        <v>852</v>
      </c>
      <c r="C68" s="141" t="s">
        <v>148</v>
      </c>
      <c r="D68" s="153">
        <f t="shared" ref="D68:D71" si="4">E68+F68+G68</f>
        <v>44868.87</v>
      </c>
      <c r="E68" s="153">
        <f>E69</f>
        <v>10000</v>
      </c>
      <c r="F68" s="153">
        <f>F69</f>
        <v>0</v>
      </c>
      <c r="G68" s="153">
        <f>G69</f>
        <v>34868.870000000003</v>
      </c>
    </row>
    <row r="69" spans="1:7" ht="16.5" thickBot="1" x14ac:dyDescent="0.3">
      <c r="A69" s="151" t="s">
        <v>331</v>
      </c>
      <c r="B69" s="141">
        <v>852</v>
      </c>
      <c r="C69" s="141">
        <v>290</v>
      </c>
      <c r="D69" s="153">
        <f t="shared" si="4"/>
        <v>44868.87</v>
      </c>
      <c r="E69" s="153">
        <f>[1]ф.3!F32</f>
        <v>10000</v>
      </c>
      <c r="F69" s="153">
        <v>0</v>
      </c>
      <c r="G69" s="153">
        <f>[1]ф.5!G31+[1]ф.6!H32</f>
        <v>34868.870000000003</v>
      </c>
    </row>
    <row r="70" spans="1:7" ht="16.5" thickBot="1" x14ac:dyDescent="0.3">
      <c r="A70" s="151" t="s">
        <v>339</v>
      </c>
      <c r="B70" s="141">
        <v>853</v>
      </c>
      <c r="C70" s="141" t="s">
        <v>148</v>
      </c>
      <c r="D70" s="153">
        <f t="shared" si="4"/>
        <v>30000</v>
      </c>
      <c r="E70" s="153">
        <f>E71</f>
        <v>0</v>
      </c>
      <c r="F70" s="153">
        <f>F71</f>
        <v>0</v>
      </c>
      <c r="G70" s="153">
        <f>G71</f>
        <v>30000</v>
      </c>
    </row>
    <row r="71" spans="1:7" ht="16.5" thickBot="1" x14ac:dyDescent="0.3">
      <c r="A71" s="151" t="s">
        <v>331</v>
      </c>
      <c r="B71" s="141">
        <v>853</v>
      </c>
      <c r="C71" s="141">
        <v>290</v>
      </c>
      <c r="D71" s="153">
        <f t="shared" si="4"/>
        <v>30000</v>
      </c>
      <c r="E71" s="153">
        <v>0</v>
      </c>
      <c r="F71" s="153">
        <v>0</v>
      </c>
      <c r="G71" s="153">
        <f>[1]ф.6!H33</f>
        <v>30000</v>
      </c>
    </row>
    <row r="72" spans="1:7" ht="16.5" thickBot="1" x14ac:dyDescent="0.3">
      <c r="A72" s="151"/>
      <c r="B72" s="141"/>
      <c r="C72" s="141"/>
      <c r="D72" s="153"/>
      <c r="E72" s="153"/>
      <c r="F72" s="153"/>
      <c r="G72" s="153"/>
    </row>
    <row r="73" spans="1:7" ht="16.5" thickBot="1" x14ac:dyDescent="0.3">
      <c r="A73" s="151" t="s">
        <v>340</v>
      </c>
      <c r="B73" s="141" t="s">
        <v>148</v>
      </c>
      <c r="C73" s="141">
        <v>500</v>
      </c>
      <c r="D73" s="153">
        <f>E73+F73+G73</f>
        <v>10195771.26</v>
      </c>
      <c r="E73" s="153">
        <f>E74</f>
        <v>8800000</v>
      </c>
      <c r="F73" s="153">
        <f>F74</f>
        <v>1000000</v>
      </c>
      <c r="G73" s="153">
        <f>G74</f>
        <v>395771.26</v>
      </c>
    </row>
    <row r="74" spans="1:7" ht="15" customHeight="1" x14ac:dyDescent="0.25">
      <c r="A74" s="152" t="s">
        <v>99</v>
      </c>
      <c r="B74" s="193" t="s">
        <v>148</v>
      </c>
      <c r="C74" s="193">
        <v>510</v>
      </c>
      <c r="D74" s="191">
        <f>E74+F74+G74</f>
        <v>10195771.26</v>
      </c>
      <c r="E74" s="191">
        <v>8800000</v>
      </c>
      <c r="F74" s="191">
        <v>1000000</v>
      </c>
      <c r="G74" s="191">
        <v>395771.26</v>
      </c>
    </row>
    <row r="75" spans="1:7" ht="15.75" customHeight="1" thickBot="1" x14ac:dyDescent="0.3">
      <c r="A75" s="151" t="s">
        <v>341</v>
      </c>
      <c r="B75" s="194"/>
      <c r="C75" s="194"/>
      <c r="D75" s="192"/>
      <c r="E75" s="192"/>
      <c r="F75" s="192"/>
      <c r="G75" s="192"/>
    </row>
    <row r="76" spans="1:7" ht="16.5" thickBot="1" x14ac:dyDescent="0.3">
      <c r="A76" s="151" t="s">
        <v>342</v>
      </c>
      <c r="B76" s="141" t="s">
        <v>148</v>
      </c>
      <c r="C76" s="141"/>
      <c r="D76" s="153"/>
      <c r="E76" s="153"/>
      <c r="F76" s="153"/>
      <c r="G76" s="153"/>
    </row>
    <row r="77" spans="1:7" ht="16.5" thickBot="1" x14ac:dyDescent="0.3">
      <c r="A77" s="151" t="s">
        <v>343</v>
      </c>
      <c r="B77" s="141" t="s">
        <v>148</v>
      </c>
      <c r="C77" s="141">
        <v>600</v>
      </c>
      <c r="D77" s="153">
        <f>E77+F77+G77</f>
        <v>7748612.3099999996</v>
      </c>
      <c r="E77" s="153">
        <f>E78</f>
        <v>6748101.3499999996</v>
      </c>
      <c r="F77" s="153">
        <f>F78</f>
        <v>553505.51</v>
      </c>
      <c r="G77" s="153">
        <f>G78</f>
        <v>447005.45</v>
      </c>
    </row>
    <row r="78" spans="1:7" ht="15" customHeight="1" x14ac:dyDescent="0.25">
      <c r="A78" s="152" t="s">
        <v>99</v>
      </c>
      <c r="B78" s="193" t="s">
        <v>148</v>
      </c>
      <c r="C78" s="193">
        <v>610</v>
      </c>
      <c r="D78" s="191">
        <f>E78+F78+G78</f>
        <v>7748612.3099999996</v>
      </c>
      <c r="E78" s="191">
        <v>6748101.3499999996</v>
      </c>
      <c r="F78" s="191">
        <v>553505.51</v>
      </c>
      <c r="G78" s="191">
        <v>447005.45</v>
      </c>
    </row>
    <row r="79" spans="1:7" ht="15.75" customHeight="1" thickBot="1" x14ac:dyDescent="0.3">
      <c r="A79" s="151" t="s">
        <v>350</v>
      </c>
      <c r="B79" s="194"/>
      <c r="C79" s="194"/>
      <c r="D79" s="192"/>
      <c r="E79" s="192"/>
      <c r="F79" s="192"/>
      <c r="G79" s="192"/>
    </row>
    <row r="80" spans="1:7" ht="16.5" thickBot="1" x14ac:dyDescent="0.3">
      <c r="A80" s="138" t="s">
        <v>344</v>
      </c>
      <c r="B80" s="141"/>
      <c r="C80" s="141"/>
      <c r="D80" s="153"/>
      <c r="E80" s="153"/>
      <c r="F80" s="153"/>
      <c r="G80" s="153"/>
    </row>
    <row r="81" spans="1:7" ht="32.25" customHeight="1" thickBot="1" x14ac:dyDescent="0.3">
      <c r="A81" s="138" t="s">
        <v>345</v>
      </c>
      <c r="B81" s="141" t="s">
        <v>148</v>
      </c>
      <c r="C81" s="141" t="s">
        <v>148</v>
      </c>
      <c r="D81" s="153"/>
      <c r="E81" s="153"/>
      <c r="F81" s="153"/>
      <c r="G81" s="153"/>
    </row>
  </sheetData>
  <mergeCells count="88"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  <mergeCell ref="D12:D13"/>
    <mergeCell ref="G12:G13"/>
    <mergeCell ref="B15:B17"/>
    <mergeCell ref="C15:C17"/>
    <mergeCell ref="D15:D17"/>
    <mergeCell ref="E15:E17"/>
    <mergeCell ref="F15:F17"/>
    <mergeCell ref="G15:G17"/>
    <mergeCell ref="A16:A17"/>
    <mergeCell ref="A19:A20"/>
    <mergeCell ref="B19:B20"/>
    <mergeCell ref="C19:C20"/>
    <mergeCell ref="D19:D20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E61:E62"/>
    <mergeCell ref="F61:F62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74:G75"/>
    <mergeCell ref="B74:B75"/>
    <mergeCell ref="C74:C75"/>
    <mergeCell ref="D74:D75"/>
    <mergeCell ref="E74:E75"/>
    <mergeCell ref="F74:F75"/>
    <mergeCell ref="G36:G37"/>
    <mergeCell ref="B44:B45"/>
    <mergeCell ref="C44:C45"/>
    <mergeCell ref="D44:D45"/>
    <mergeCell ref="E44:E45"/>
    <mergeCell ref="F44:F45"/>
    <mergeCell ref="G44:G45"/>
    <mergeCell ref="B36:B37"/>
    <mergeCell ref="C36:C37"/>
    <mergeCell ref="D36:D37"/>
    <mergeCell ref="E36:E37"/>
    <mergeCell ref="F36:F37"/>
    <mergeCell ref="G46:G47"/>
    <mergeCell ref="B65:B66"/>
    <mergeCell ref="C65:C66"/>
    <mergeCell ref="D65:D66"/>
    <mergeCell ref="E65:E66"/>
    <mergeCell ref="F65:F66"/>
    <mergeCell ref="G65:G66"/>
    <mergeCell ref="B46:B47"/>
    <mergeCell ref="C46:C47"/>
    <mergeCell ref="D46:D47"/>
    <mergeCell ref="E46:E47"/>
    <mergeCell ref="F46:F47"/>
    <mergeCell ref="G61:G62"/>
    <mergeCell ref="B61:B62"/>
    <mergeCell ref="C61:C62"/>
    <mergeCell ref="D61:D62"/>
    <mergeCell ref="G78:G79"/>
    <mergeCell ref="B78:B79"/>
    <mergeCell ref="C78:C79"/>
    <mergeCell ref="D78:D79"/>
    <mergeCell ref="E78:E79"/>
    <mergeCell ref="F78:F79"/>
  </mergeCells>
  <pageMargins left="0.19685039370078741" right="0.19685039370078741" top="0" bottom="0" header="0.51181102362204722" footer="0.51181102362204722"/>
  <pageSetup paperSize="9" scale="4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Normal="100" workbookViewId="0">
      <selection activeCell="D42" sqref="D42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188" t="s">
        <v>287</v>
      </c>
      <c r="B1" s="188"/>
      <c r="C1" s="188"/>
      <c r="D1" s="188"/>
      <c r="E1" s="188"/>
      <c r="F1" s="188"/>
      <c r="G1" s="188"/>
    </row>
    <row r="2" spans="1:7" ht="18.75" x14ac:dyDescent="0.25">
      <c r="A2" s="188" t="s">
        <v>346</v>
      </c>
      <c r="B2" s="188"/>
      <c r="C2" s="188"/>
      <c r="D2" s="188"/>
      <c r="E2" s="188"/>
      <c r="F2" s="188"/>
      <c r="G2" s="188"/>
    </row>
    <row r="3" spans="1:7" ht="15.75" thickBot="1" x14ac:dyDescent="0.3">
      <c r="A3" s="126"/>
      <c r="B3"/>
      <c r="C3"/>
      <c r="D3"/>
      <c r="E3"/>
      <c r="F3"/>
      <c r="G3"/>
    </row>
    <row r="4" spans="1:7" ht="16.5" customHeight="1" thickBot="1" x14ac:dyDescent="0.3">
      <c r="A4" s="200" t="s">
        <v>38</v>
      </c>
      <c r="B4" s="202" t="s">
        <v>289</v>
      </c>
      <c r="C4" s="203"/>
      <c r="D4" s="202" t="s">
        <v>290</v>
      </c>
      <c r="E4" s="204"/>
      <c r="F4" s="204"/>
      <c r="G4" s="203"/>
    </row>
    <row r="5" spans="1:7" ht="15" customHeight="1" x14ac:dyDescent="0.25">
      <c r="A5" s="201"/>
      <c r="B5" s="200" t="s">
        <v>291</v>
      </c>
      <c r="C5" s="200" t="s">
        <v>292</v>
      </c>
      <c r="D5" s="200" t="s">
        <v>293</v>
      </c>
      <c r="E5" s="206" t="s">
        <v>39</v>
      </c>
      <c r="F5" s="207"/>
      <c r="G5" s="208"/>
    </row>
    <row r="6" spans="1:7" ht="15.75" customHeight="1" thickBot="1" x14ac:dyDescent="0.3">
      <c r="A6" s="201"/>
      <c r="B6" s="201"/>
      <c r="C6" s="201"/>
      <c r="D6" s="201"/>
      <c r="E6" s="209"/>
      <c r="F6" s="210"/>
      <c r="G6" s="211"/>
    </row>
    <row r="7" spans="1:7" ht="15" customHeight="1" x14ac:dyDescent="0.25">
      <c r="A7" s="201"/>
      <c r="B7" s="201"/>
      <c r="C7" s="201"/>
      <c r="D7" s="201"/>
      <c r="E7" s="200" t="s">
        <v>294</v>
      </c>
      <c r="F7" s="200" t="s">
        <v>295</v>
      </c>
      <c r="G7" s="200" t="s">
        <v>296</v>
      </c>
    </row>
    <row r="8" spans="1:7" ht="15" customHeight="1" x14ac:dyDescent="0.25">
      <c r="A8" s="201"/>
      <c r="B8" s="201"/>
      <c r="C8" s="201"/>
      <c r="D8" s="201"/>
      <c r="E8" s="201"/>
      <c r="F8" s="201"/>
      <c r="G8" s="201"/>
    </row>
    <row r="9" spans="1:7" ht="90.75" customHeight="1" thickBot="1" x14ac:dyDescent="0.3">
      <c r="A9" s="201"/>
      <c r="B9" s="201"/>
      <c r="C9" s="201"/>
      <c r="D9" s="205"/>
      <c r="E9" s="201"/>
      <c r="F9" s="201"/>
      <c r="G9" s="201"/>
    </row>
    <row r="10" spans="1:7" ht="32.25" customHeight="1" thickBot="1" x14ac:dyDescent="0.3">
      <c r="A10" s="146" t="s">
        <v>297</v>
      </c>
      <c r="B10" s="147"/>
      <c r="C10" s="147"/>
      <c r="D10" s="154"/>
      <c r="E10" s="154"/>
      <c r="F10" s="154"/>
      <c r="G10" s="155"/>
    </row>
    <row r="11" spans="1:7" ht="16.5" thickBot="1" x14ac:dyDescent="0.3">
      <c r="A11" s="129" t="s">
        <v>298</v>
      </c>
      <c r="B11" s="141" t="s">
        <v>148</v>
      </c>
      <c r="C11" s="141"/>
      <c r="D11" s="153">
        <f>E11+F11+G11</f>
        <v>46458506</v>
      </c>
      <c r="E11" s="153">
        <f>E19</f>
        <v>37179370</v>
      </c>
      <c r="F11" s="153">
        <f>F22</f>
        <v>7988500</v>
      </c>
      <c r="G11" s="153">
        <f>SUM(G12:G14)</f>
        <v>1290636</v>
      </c>
    </row>
    <row r="12" spans="1:7" ht="15.75" x14ac:dyDescent="0.25">
      <c r="A12" s="148" t="s">
        <v>39</v>
      </c>
      <c r="B12" s="149"/>
      <c r="C12" s="149"/>
      <c r="D12" s="191">
        <f>G12</f>
        <v>1043028</v>
      </c>
      <c r="E12" s="156"/>
      <c r="F12" s="156"/>
      <c r="G12" s="191">
        <f>ф.6!I6</f>
        <v>1043028</v>
      </c>
    </row>
    <row r="13" spans="1:7" ht="16.5" thickBot="1" x14ac:dyDescent="0.3">
      <c r="A13" s="138" t="s">
        <v>299</v>
      </c>
      <c r="B13" s="141" t="s">
        <v>148</v>
      </c>
      <c r="C13" s="141">
        <v>120</v>
      </c>
      <c r="D13" s="192"/>
      <c r="E13" s="153" t="s">
        <v>148</v>
      </c>
      <c r="F13" s="153" t="s">
        <v>148</v>
      </c>
      <c r="G13" s="192"/>
    </row>
    <row r="14" spans="1:7" ht="16.5" thickBot="1" x14ac:dyDescent="0.3">
      <c r="A14" s="138" t="s">
        <v>300</v>
      </c>
      <c r="B14" s="141" t="s">
        <v>148</v>
      </c>
      <c r="C14" s="141">
        <v>130</v>
      </c>
      <c r="D14" s="153">
        <f>E14+F14+G14</f>
        <v>247608</v>
      </c>
      <c r="E14" s="153">
        <v>0</v>
      </c>
      <c r="F14" s="153">
        <v>0</v>
      </c>
      <c r="G14" s="153">
        <f>G15+G18</f>
        <v>247608</v>
      </c>
    </row>
    <row r="15" spans="1:7" ht="15.75" x14ac:dyDescent="0.25">
      <c r="A15" s="148" t="s">
        <v>301</v>
      </c>
      <c r="B15" s="193" t="s">
        <v>148</v>
      </c>
      <c r="C15" s="193">
        <v>130</v>
      </c>
      <c r="D15" s="191">
        <f>G15</f>
        <v>0</v>
      </c>
      <c r="E15" s="191" t="s">
        <v>148</v>
      </c>
      <c r="F15" s="191" t="s">
        <v>148</v>
      </c>
      <c r="G15" s="191">
        <v>0</v>
      </c>
    </row>
    <row r="16" spans="1:7" ht="15" customHeight="1" x14ac:dyDescent="0.25">
      <c r="A16" s="195" t="s">
        <v>302</v>
      </c>
      <c r="B16" s="198"/>
      <c r="C16" s="198"/>
      <c r="D16" s="199"/>
      <c r="E16" s="199"/>
      <c r="F16" s="199"/>
      <c r="G16" s="199"/>
    </row>
    <row r="17" spans="1:7" ht="67.5" customHeight="1" thickBot="1" x14ac:dyDescent="0.3">
      <c r="A17" s="196"/>
      <c r="B17" s="194"/>
      <c r="C17" s="194"/>
      <c r="D17" s="192"/>
      <c r="E17" s="192"/>
      <c r="F17" s="192"/>
      <c r="G17" s="192"/>
    </row>
    <row r="18" spans="1:7" ht="52.5" customHeight="1" thickBot="1" x14ac:dyDescent="0.3">
      <c r="A18" s="138" t="s">
        <v>303</v>
      </c>
      <c r="B18" s="141" t="s">
        <v>148</v>
      </c>
      <c r="C18" s="141">
        <v>130</v>
      </c>
      <c r="D18" s="153">
        <f>G18</f>
        <v>247608</v>
      </c>
      <c r="E18" s="153" t="s">
        <v>148</v>
      </c>
      <c r="F18" s="153" t="s">
        <v>148</v>
      </c>
      <c r="G18" s="153">
        <f>ф.5!I7</f>
        <v>247608</v>
      </c>
    </row>
    <row r="19" spans="1:7" ht="15" customHeight="1" x14ac:dyDescent="0.25">
      <c r="A19" s="197" t="s">
        <v>304</v>
      </c>
      <c r="B19" s="193" t="s">
        <v>148</v>
      </c>
      <c r="C19" s="193">
        <v>130</v>
      </c>
      <c r="D19" s="191">
        <f>E19</f>
        <v>37179370</v>
      </c>
      <c r="E19" s="191">
        <f>ф.3!G8</f>
        <v>37179370</v>
      </c>
      <c r="F19" s="191" t="s">
        <v>148</v>
      </c>
      <c r="G19" s="191" t="s">
        <v>148</v>
      </c>
    </row>
    <row r="20" spans="1:7" ht="15.75" customHeight="1" thickBot="1" x14ac:dyDescent="0.3">
      <c r="A20" s="196"/>
      <c r="B20" s="194"/>
      <c r="C20" s="194"/>
      <c r="D20" s="192"/>
      <c r="E20" s="192"/>
      <c r="F20" s="192"/>
      <c r="G20" s="192"/>
    </row>
    <row r="21" spans="1:7" ht="32.25" thickBot="1" x14ac:dyDescent="0.3">
      <c r="A21" s="138" t="s">
        <v>305</v>
      </c>
      <c r="B21" s="141" t="s">
        <v>306</v>
      </c>
      <c r="C21" s="141">
        <v>140</v>
      </c>
      <c r="D21" s="153">
        <f>G21</f>
        <v>0</v>
      </c>
      <c r="E21" s="153" t="s">
        <v>148</v>
      </c>
      <c r="F21" s="153" t="s">
        <v>148</v>
      </c>
      <c r="G21" s="153">
        <v>0</v>
      </c>
    </row>
    <row r="22" spans="1:7" ht="32.25" customHeight="1" thickBot="1" x14ac:dyDescent="0.3">
      <c r="A22" s="138" t="s">
        <v>307</v>
      </c>
      <c r="B22" s="141" t="s">
        <v>148</v>
      </c>
      <c r="C22" s="141">
        <v>180</v>
      </c>
      <c r="D22" s="153">
        <f>F22</f>
        <v>7988500</v>
      </c>
      <c r="E22" s="153" t="s">
        <v>148</v>
      </c>
      <c r="F22" s="153">
        <f>ф.4!I9+ф.4!I23+'ф.4 (2)'!I9+'ф.4 (2)'!I23+'ф.4 (3)'!I9+'ф.4 (4)'!I9+'ф.4 (4)'!I26+'ф.4 (5)'!I9+'ф.4 (5)'!I22</f>
        <v>7988500</v>
      </c>
      <c r="G22" s="153" t="s">
        <v>148</v>
      </c>
    </row>
    <row r="23" spans="1:7" ht="16.5" thickBot="1" x14ac:dyDescent="0.3">
      <c r="A23" s="138" t="s">
        <v>308</v>
      </c>
      <c r="B23" s="141" t="s">
        <v>148</v>
      </c>
      <c r="C23" s="141">
        <v>180</v>
      </c>
      <c r="D23" s="153">
        <f>G23</f>
        <v>0</v>
      </c>
      <c r="E23" s="153" t="s">
        <v>148</v>
      </c>
      <c r="F23" s="153" t="s">
        <v>148</v>
      </c>
      <c r="G23" s="153">
        <v>0</v>
      </c>
    </row>
    <row r="24" spans="1:7" ht="16.5" thickBot="1" x14ac:dyDescent="0.3">
      <c r="A24" s="138" t="s">
        <v>309</v>
      </c>
      <c r="B24" s="141" t="s">
        <v>148</v>
      </c>
      <c r="C24" s="141" t="s">
        <v>148</v>
      </c>
      <c r="D24" s="153">
        <f>G24</f>
        <v>0</v>
      </c>
      <c r="E24" s="153" t="s">
        <v>148</v>
      </c>
      <c r="F24" s="153" t="s">
        <v>148</v>
      </c>
      <c r="G24" s="153">
        <v>0</v>
      </c>
    </row>
    <row r="25" spans="1:7" ht="16.5" thickBot="1" x14ac:dyDescent="0.3">
      <c r="A25" s="138"/>
      <c r="B25" s="141"/>
      <c r="C25" s="141"/>
      <c r="D25" s="153"/>
      <c r="E25" s="153"/>
      <c r="F25" s="153"/>
      <c r="G25" s="153"/>
    </row>
    <row r="26" spans="1:7" ht="16.5" thickBot="1" x14ac:dyDescent="0.3">
      <c r="A26" s="129" t="s">
        <v>310</v>
      </c>
      <c r="B26" s="141" t="s">
        <v>148</v>
      </c>
      <c r="C26" s="141" t="s">
        <v>148</v>
      </c>
      <c r="D26" s="153">
        <f>E26+F26+G26</f>
        <v>46458506</v>
      </c>
      <c r="E26" s="153">
        <f>E27+E35+E52+E56</f>
        <v>37179370</v>
      </c>
      <c r="F26" s="153">
        <f>F27+F35+F52+F56</f>
        <v>7988500</v>
      </c>
      <c r="G26" s="153">
        <f>G27+G35+G52+G56</f>
        <v>1290636</v>
      </c>
    </row>
    <row r="27" spans="1:7" ht="31.5" x14ac:dyDescent="0.25">
      <c r="A27" s="148" t="s">
        <v>311</v>
      </c>
      <c r="B27" s="193">
        <v>100</v>
      </c>
      <c r="C27" s="193" t="s">
        <v>148</v>
      </c>
      <c r="D27" s="191">
        <f>E27+F27+G27</f>
        <v>34406500</v>
      </c>
      <c r="E27" s="191">
        <f>E29</f>
        <v>33129000</v>
      </c>
      <c r="F27" s="191">
        <f>F29</f>
        <v>1260000</v>
      </c>
      <c r="G27" s="191">
        <f>G29</f>
        <v>17500</v>
      </c>
    </row>
    <row r="28" spans="1:7" ht="16.5" thickBot="1" x14ac:dyDescent="0.3">
      <c r="A28" s="138" t="s">
        <v>312</v>
      </c>
      <c r="B28" s="194"/>
      <c r="C28" s="194"/>
      <c r="D28" s="192"/>
      <c r="E28" s="192"/>
      <c r="F28" s="192"/>
      <c r="G28" s="192"/>
    </row>
    <row r="29" spans="1:7" ht="15.75" x14ac:dyDescent="0.25">
      <c r="A29" s="148" t="s">
        <v>313</v>
      </c>
      <c r="B29" s="193">
        <v>110</v>
      </c>
      <c r="C29" s="193">
        <v>210</v>
      </c>
      <c r="D29" s="191">
        <f>E29+F29+G29</f>
        <v>34406500</v>
      </c>
      <c r="E29" s="191">
        <f>SUM(E31:E34)</f>
        <v>33129000</v>
      </c>
      <c r="F29" s="191">
        <f>SUM(F31:F34)</f>
        <v>1260000</v>
      </c>
      <c r="G29" s="191">
        <f>SUM(G31:G34)</f>
        <v>17500</v>
      </c>
    </row>
    <row r="30" spans="1:7" ht="32.25" customHeight="1" thickBot="1" x14ac:dyDescent="0.3">
      <c r="A30" s="138" t="s">
        <v>314</v>
      </c>
      <c r="B30" s="194"/>
      <c r="C30" s="194"/>
      <c r="D30" s="192"/>
      <c r="E30" s="192"/>
      <c r="F30" s="192"/>
      <c r="G30" s="192"/>
    </row>
    <row r="31" spans="1:7" ht="15.75" x14ac:dyDescent="0.25">
      <c r="A31" s="148" t="s">
        <v>301</v>
      </c>
      <c r="B31" s="193">
        <v>111</v>
      </c>
      <c r="C31" s="193">
        <v>211</v>
      </c>
      <c r="D31" s="191">
        <f>E31+F31+G31</f>
        <v>25459000</v>
      </c>
      <c r="E31" s="191">
        <f>ф.3!G11</f>
        <v>25459000</v>
      </c>
      <c r="F31" s="191">
        <v>0</v>
      </c>
      <c r="G31" s="191">
        <v>0</v>
      </c>
    </row>
    <row r="32" spans="1:7" ht="16.5" thickBot="1" x14ac:dyDescent="0.3">
      <c r="A32" s="138" t="s">
        <v>315</v>
      </c>
      <c r="B32" s="194"/>
      <c r="C32" s="194"/>
      <c r="D32" s="192"/>
      <c r="E32" s="192"/>
      <c r="F32" s="192"/>
      <c r="G32" s="192"/>
    </row>
    <row r="33" spans="1:7" ht="39.75" customHeight="1" thickBot="1" x14ac:dyDescent="0.3">
      <c r="A33" s="150" t="s">
        <v>316</v>
      </c>
      <c r="B33" s="141">
        <v>112</v>
      </c>
      <c r="C33" s="141">
        <v>212</v>
      </c>
      <c r="D33" s="153">
        <f>E33+F33+G33</f>
        <v>1259500</v>
      </c>
      <c r="E33" s="153">
        <f>ф.3!G12</f>
        <v>32000</v>
      </c>
      <c r="F33" s="153">
        <f>ф.4!I12+ф.4!I26</f>
        <v>1210000</v>
      </c>
      <c r="G33" s="153">
        <f>ф.6!I10</f>
        <v>17500</v>
      </c>
    </row>
    <row r="34" spans="1:7" ht="54" customHeight="1" thickBot="1" x14ac:dyDescent="0.3">
      <c r="A34" s="150" t="s">
        <v>317</v>
      </c>
      <c r="B34" s="141">
        <v>119</v>
      </c>
      <c r="C34" s="141">
        <v>213</v>
      </c>
      <c r="D34" s="153">
        <f>E34+F34+G34</f>
        <v>7688000</v>
      </c>
      <c r="E34" s="153">
        <f>ф.3!G13</f>
        <v>7638000</v>
      </c>
      <c r="F34" s="153">
        <f>ф.4!I27</f>
        <v>50000</v>
      </c>
      <c r="G34" s="153">
        <v>0</v>
      </c>
    </row>
    <row r="35" spans="1:7" ht="39.75" customHeight="1" thickBot="1" x14ac:dyDescent="0.3">
      <c r="A35" s="138" t="s">
        <v>318</v>
      </c>
      <c r="B35" s="141">
        <v>200</v>
      </c>
      <c r="C35" s="141" t="s">
        <v>148</v>
      </c>
      <c r="D35" s="153">
        <f>E35+F35+G35</f>
        <v>11527006</v>
      </c>
      <c r="E35" s="153">
        <f>E36</f>
        <v>3659370</v>
      </c>
      <c r="F35" s="153">
        <f>F36</f>
        <v>6618500</v>
      </c>
      <c r="G35" s="153">
        <f>G36</f>
        <v>1249136</v>
      </c>
    </row>
    <row r="36" spans="1:7" ht="15.75" x14ac:dyDescent="0.25">
      <c r="A36" s="148" t="s">
        <v>319</v>
      </c>
      <c r="B36" s="193">
        <v>240</v>
      </c>
      <c r="C36" s="193" t="s">
        <v>148</v>
      </c>
      <c r="D36" s="191">
        <f>E36+F36+G36</f>
        <v>11527006</v>
      </c>
      <c r="E36" s="191">
        <f>E38+E42</f>
        <v>3659370</v>
      </c>
      <c r="F36" s="191">
        <f>F38+F42</f>
        <v>6618500</v>
      </c>
      <c r="G36" s="191">
        <f>G38+G42</f>
        <v>1249136</v>
      </c>
    </row>
    <row r="37" spans="1:7" ht="48" customHeight="1" thickBot="1" x14ac:dyDescent="0.3">
      <c r="A37" s="138" t="s">
        <v>320</v>
      </c>
      <c r="B37" s="194"/>
      <c r="C37" s="194"/>
      <c r="D37" s="192"/>
      <c r="E37" s="192"/>
      <c r="F37" s="192"/>
      <c r="G37" s="192"/>
    </row>
    <row r="38" spans="1:7" ht="15.75" x14ac:dyDescent="0.25">
      <c r="A38" s="148" t="s">
        <v>301</v>
      </c>
      <c r="B38" s="193">
        <v>243</v>
      </c>
      <c r="C38" s="193" t="s">
        <v>148</v>
      </c>
      <c r="D38" s="191">
        <f>E38+F38+G38</f>
        <v>0</v>
      </c>
      <c r="E38" s="191">
        <f>SUM(E40:E41)</f>
        <v>0</v>
      </c>
      <c r="F38" s="191">
        <f>SUM(F40:F41)</f>
        <v>0</v>
      </c>
      <c r="G38" s="191">
        <f>SUM(G40:G41)</f>
        <v>0</v>
      </c>
    </row>
    <row r="39" spans="1:7" ht="39" customHeight="1" thickBot="1" x14ac:dyDescent="0.3">
      <c r="A39" s="138" t="s">
        <v>321</v>
      </c>
      <c r="B39" s="194"/>
      <c r="C39" s="194"/>
      <c r="D39" s="192"/>
      <c r="E39" s="192"/>
      <c r="F39" s="192"/>
      <c r="G39" s="192"/>
    </row>
    <row r="40" spans="1:7" ht="17.25" customHeight="1" thickBot="1" x14ac:dyDescent="0.3">
      <c r="A40" s="138" t="s">
        <v>322</v>
      </c>
      <c r="B40" s="141" t="s">
        <v>323</v>
      </c>
      <c r="C40" s="141">
        <v>225</v>
      </c>
      <c r="D40" s="153">
        <f>E40+F40+G40</f>
        <v>0</v>
      </c>
      <c r="E40" s="153">
        <v>0</v>
      </c>
      <c r="F40" s="153">
        <v>0</v>
      </c>
      <c r="G40" s="153">
        <v>0</v>
      </c>
    </row>
    <row r="41" spans="1:7" ht="16.5" thickBot="1" x14ac:dyDescent="0.3">
      <c r="A41" s="138" t="s">
        <v>324</v>
      </c>
      <c r="B41" s="141" t="s">
        <v>323</v>
      </c>
      <c r="C41" s="141">
        <v>226</v>
      </c>
      <c r="D41" s="153">
        <f>E41+F41+G41</f>
        <v>0</v>
      </c>
      <c r="E41" s="153">
        <v>0</v>
      </c>
      <c r="F41" s="153">
        <v>0</v>
      </c>
      <c r="G41" s="153">
        <v>0</v>
      </c>
    </row>
    <row r="42" spans="1:7" ht="38.25" customHeight="1" thickBot="1" x14ac:dyDescent="0.3">
      <c r="A42" s="150" t="s">
        <v>325</v>
      </c>
      <c r="B42" s="141">
        <v>244</v>
      </c>
      <c r="C42" s="141" t="s">
        <v>148</v>
      </c>
      <c r="D42" s="153">
        <f>E42+F42+G42</f>
        <v>11527006</v>
      </c>
      <c r="E42" s="153">
        <f>SUM(E43:E51)</f>
        <v>3659370</v>
      </c>
      <c r="F42" s="153">
        <f>SUM(F43:F51)</f>
        <v>6618500</v>
      </c>
      <c r="G42" s="153">
        <f>SUM(G43:G51)</f>
        <v>1249136</v>
      </c>
    </row>
    <row r="43" spans="1:7" ht="16.5" thickBot="1" x14ac:dyDescent="0.3">
      <c r="A43" s="138" t="s">
        <v>326</v>
      </c>
      <c r="B43" s="141">
        <v>244</v>
      </c>
      <c r="C43" s="141">
        <v>221</v>
      </c>
      <c r="D43" s="153">
        <f t="shared" ref="D43:D51" si="0">E43+F43+G43</f>
        <v>312000</v>
      </c>
      <c r="E43" s="153">
        <f>ф.3!G16</f>
        <v>305000</v>
      </c>
      <c r="F43" s="153">
        <v>0</v>
      </c>
      <c r="G43" s="153">
        <f>ф.5!I15+ф.6!I14</f>
        <v>7000</v>
      </c>
    </row>
    <row r="44" spans="1:7" ht="16.5" thickBot="1" x14ac:dyDescent="0.3">
      <c r="A44" s="138" t="s">
        <v>327</v>
      </c>
      <c r="B44" s="141">
        <v>244</v>
      </c>
      <c r="C44" s="141">
        <v>222</v>
      </c>
      <c r="D44" s="153">
        <f t="shared" si="0"/>
        <v>159000</v>
      </c>
      <c r="E44" s="153">
        <f>ф.3!G17</f>
        <v>159000</v>
      </c>
      <c r="F44" s="153">
        <v>0</v>
      </c>
      <c r="G44" s="153">
        <f>ф.5!I16+ф.6!I15</f>
        <v>0</v>
      </c>
    </row>
    <row r="45" spans="1:7" ht="16.5" thickBot="1" x14ac:dyDescent="0.3">
      <c r="A45" s="138" t="s">
        <v>328</v>
      </c>
      <c r="B45" s="141">
        <v>244</v>
      </c>
      <c r="C45" s="141">
        <v>223</v>
      </c>
      <c r="D45" s="153">
        <f t="shared" si="0"/>
        <v>1382395</v>
      </c>
      <c r="E45" s="153">
        <f>ф.3!G18</f>
        <v>1115070</v>
      </c>
      <c r="F45" s="153">
        <v>0</v>
      </c>
      <c r="G45" s="153">
        <f>ф.5!I17+ф.6!I16</f>
        <v>267325</v>
      </c>
    </row>
    <row r="46" spans="1:7" ht="18" customHeight="1" thickBot="1" x14ac:dyDescent="0.3">
      <c r="A46" s="138" t="s">
        <v>329</v>
      </c>
      <c r="B46" s="141">
        <v>244</v>
      </c>
      <c r="C46" s="141">
        <v>224</v>
      </c>
      <c r="D46" s="153">
        <f t="shared" si="0"/>
        <v>0</v>
      </c>
      <c r="E46" s="153">
        <f>ф.3!G19</f>
        <v>0</v>
      </c>
      <c r="F46" s="153">
        <v>0</v>
      </c>
      <c r="G46" s="153">
        <f>ф.5!I18+ф.6!I17</f>
        <v>0</v>
      </c>
    </row>
    <row r="47" spans="1:7" ht="18.75" customHeight="1" thickBot="1" x14ac:dyDescent="0.3">
      <c r="A47" s="138" t="s">
        <v>322</v>
      </c>
      <c r="B47" s="141" t="s">
        <v>330</v>
      </c>
      <c r="C47" s="141">
        <v>225</v>
      </c>
      <c r="D47" s="153">
        <f t="shared" si="0"/>
        <v>1118470</v>
      </c>
      <c r="E47" s="153">
        <f>ф.3!G20</f>
        <v>649000</v>
      </c>
      <c r="F47" s="153">
        <f>'ф.4 (2)'!I12+'ф.4 (5)'!I25</f>
        <v>235000</v>
      </c>
      <c r="G47" s="153">
        <f>ф.5!I19+ф.6!I18</f>
        <v>234470</v>
      </c>
    </row>
    <row r="48" spans="1:7" ht="16.5" thickBot="1" x14ac:dyDescent="0.3">
      <c r="A48" s="138" t="s">
        <v>324</v>
      </c>
      <c r="B48" s="141" t="s">
        <v>330</v>
      </c>
      <c r="C48" s="141">
        <v>226</v>
      </c>
      <c r="D48" s="153">
        <f t="shared" si="0"/>
        <v>2632713</v>
      </c>
      <c r="E48" s="153">
        <f>ф.3!G21</f>
        <v>906300</v>
      </c>
      <c r="F48" s="153">
        <f>'ф.4 (2)'!I13+'ф.4 (2)'!I26+'ф.4 (3)'!I19+'ф.4 (4)'!I12+'ф.4 (4)'!I29+'ф.4 (5)'!I12+'ф.4 (5)'!I26</f>
        <v>1389300</v>
      </c>
      <c r="G48" s="153">
        <f>ф.5!I20+ф.6!I19</f>
        <v>337113</v>
      </c>
    </row>
    <row r="49" spans="1:7" ht="16.5" thickBot="1" x14ac:dyDescent="0.3">
      <c r="A49" s="138" t="s">
        <v>331</v>
      </c>
      <c r="B49" s="141">
        <v>244</v>
      </c>
      <c r="C49" s="141">
        <v>290</v>
      </c>
      <c r="D49" s="153">
        <f t="shared" si="0"/>
        <v>4490280</v>
      </c>
      <c r="E49" s="153">
        <f>ф.3!G22</f>
        <v>0</v>
      </c>
      <c r="F49" s="153">
        <f>'ф.4 (2)'!I27+'ф.4 (3)'!I20+'ф.4 (4)'!I13+'ф.4 (4)'!I30</f>
        <v>4490280</v>
      </c>
      <c r="G49" s="153">
        <f>ф.5!I21+ф.6!I20</f>
        <v>0</v>
      </c>
    </row>
    <row r="50" spans="1:7" ht="16.5" thickBot="1" x14ac:dyDescent="0.3">
      <c r="A50" s="138" t="s">
        <v>332</v>
      </c>
      <c r="B50" s="141">
        <v>244</v>
      </c>
      <c r="C50" s="141">
        <v>310</v>
      </c>
      <c r="D50" s="153">
        <f t="shared" si="0"/>
        <v>215828</v>
      </c>
      <c r="E50" s="153">
        <f>ф.3!G24</f>
        <v>0</v>
      </c>
      <c r="F50" s="153">
        <v>0</v>
      </c>
      <c r="G50" s="153">
        <f>ф.5!I23+ф.6!I22</f>
        <v>215828</v>
      </c>
    </row>
    <row r="51" spans="1:7" ht="18.75" customHeight="1" thickBot="1" x14ac:dyDescent="0.3">
      <c r="A51" s="138" t="s">
        <v>333</v>
      </c>
      <c r="B51" s="141">
        <v>244</v>
      </c>
      <c r="C51" s="141">
        <v>340</v>
      </c>
      <c r="D51" s="153">
        <f t="shared" si="0"/>
        <v>1216320</v>
      </c>
      <c r="E51" s="153">
        <f>ф.3!G25</f>
        <v>525000</v>
      </c>
      <c r="F51" s="153">
        <f>'ф.4 (2)'!I28+'ф.4 (3)'!I23+'ф.4 (4)'!I14+'ф.4 (4)'!I31</f>
        <v>503920</v>
      </c>
      <c r="G51" s="153">
        <f>ф.5!I24+ф.6!I23</f>
        <v>187400</v>
      </c>
    </row>
    <row r="52" spans="1:7" ht="23.25" customHeight="1" thickBot="1" x14ac:dyDescent="0.3">
      <c r="A52" s="151" t="s">
        <v>334</v>
      </c>
      <c r="B52" s="141">
        <v>300</v>
      </c>
      <c r="C52" s="141" t="s">
        <v>148</v>
      </c>
      <c r="D52" s="153">
        <f>E52+F52+G52</f>
        <v>110000</v>
      </c>
      <c r="E52" s="153">
        <f>E53</f>
        <v>0</v>
      </c>
      <c r="F52" s="153">
        <f>F53</f>
        <v>110000</v>
      </c>
      <c r="G52" s="153">
        <f>G53</f>
        <v>0</v>
      </c>
    </row>
    <row r="53" spans="1:7" ht="15" customHeight="1" x14ac:dyDescent="0.25">
      <c r="A53" s="152" t="s">
        <v>319</v>
      </c>
      <c r="B53" s="193">
        <v>350</v>
      </c>
      <c r="C53" s="193" t="s">
        <v>148</v>
      </c>
      <c r="D53" s="191">
        <f>E53+F53+G53</f>
        <v>110000</v>
      </c>
      <c r="E53" s="191">
        <f>E55</f>
        <v>0</v>
      </c>
      <c r="F53" s="191">
        <f>F55</f>
        <v>110000</v>
      </c>
      <c r="G53" s="191">
        <v>0</v>
      </c>
    </row>
    <row r="54" spans="1:7" ht="15.75" customHeight="1" thickBot="1" x14ac:dyDescent="0.3">
      <c r="A54" s="151" t="s">
        <v>335</v>
      </c>
      <c r="B54" s="194"/>
      <c r="C54" s="194"/>
      <c r="D54" s="192"/>
      <c r="E54" s="192"/>
      <c r="F54" s="192"/>
      <c r="G54" s="192"/>
    </row>
    <row r="55" spans="1:7" ht="16.5" thickBot="1" x14ac:dyDescent="0.3">
      <c r="A55" s="151" t="s">
        <v>331</v>
      </c>
      <c r="B55" s="141">
        <v>350</v>
      </c>
      <c r="C55" s="141">
        <v>290</v>
      </c>
      <c r="D55" s="153">
        <f>E55+F55+G55</f>
        <v>110000</v>
      </c>
      <c r="E55" s="153">
        <v>0</v>
      </c>
      <c r="F55" s="153">
        <f>'ф.4 (2)'!I30+'ф.4 (3)'!I29+'ф.4 (4)'!I16+'ф.4 (4)'!I33</f>
        <v>110000</v>
      </c>
      <c r="G55" s="153">
        <f>ф.6!I29</f>
        <v>0</v>
      </c>
    </row>
    <row r="56" spans="1:7" ht="16.5" thickBot="1" x14ac:dyDescent="0.3">
      <c r="A56" s="151" t="s">
        <v>336</v>
      </c>
      <c r="B56" s="141">
        <v>800</v>
      </c>
      <c r="C56" s="141" t="s">
        <v>148</v>
      </c>
      <c r="D56" s="153">
        <f>E56+F56+G56</f>
        <v>415000</v>
      </c>
      <c r="E56" s="153">
        <f>SUM(E57+E60+E62)</f>
        <v>391000</v>
      </c>
      <c r="F56" s="153">
        <f>F57+F60+F62</f>
        <v>0</v>
      </c>
      <c r="G56" s="153">
        <f>G57+G60+G62</f>
        <v>24000</v>
      </c>
    </row>
    <row r="57" spans="1:7" ht="15" customHeight="1" x14ac:dyDescent="0.25">
      <c r="A57" s="152" t="s">
        <v>319</v>
      </c>
      <c r="B57" s="193">
        <v>851</v>
      </c>
      <c r="C57" s="193" t="s">
        <v>148</v>
      </c>
      <c r="D57" s="191">
        <f>E57+F57+G57</f>
        <v>381000</v>
      </c>
      <c r="E57" s="191">
        <f>E59</f>
        <v>381000</v>
      </c>
      <c r="F57" s="191">
        <f>F59</f>
        <v>0</v>
      </c>
      <c r="G57" s="191">
        <f>G59</f>
        <v>0</v>
      </c>
    </row>
    <row r="58" spans="1:7" ht="15.75" customHeight="1" thickBot="1" x14ac:dyDescent="0.3">
      <c r="A58" s="151" t="s">
        <v>337</v>
      </c>
      <c r="B58" s="194"/>
      <c r="C58" s="194"/>
      <c r="D58" s="192"/>
      <c r="E58" s="192"/>
      <c r="F58" s="192"/>
      <c r="G58" s="192"/>
    </row>
    <row r="59" spans="1:7" ht="16.5" thickBot="1" x14ac:dyDescent="0.3">
      <c r="A59" s="151" t="s">
        <v>331</v>
      </c>
      <c r="B59" s="141">
        <v>851</v>
      </c>
      <c r="C59" s="141">
        <v>290</v>
      </c>
      <c r="D59" s="153">
        <f>E59+F59+G59</f>
        <v>381000</v>
      </c>
      <c r="E59" s="153">
        <f>ф.3!G31</f>
        <v>381000</v>
      </c>
      <c r="F59" s="153">
        <v>0</v>
      </c>
      <c r="G59" s="153">
        <f>ф.5!I30+ф.6!I31</f>
        <v>0</v>
      </c>
    </row>
    <row r="60" spans="1:7" ht="16.5" thickBot="1" x14ac:dyDescent="0.3">
      <c r="A60" s="151" t="s">
        <v>338</v>
      </c>
      <c r="B60" s="141">
        <v>852</v>
      </c>
      <c r="C60" s="141" t="s">
        <v>148</v>
      </c>
      <c r="D60" s="153">
        <f t="shared" ref="D60:D63" si="1">E60+F60+G60</f>
        <v>34000</v>
      </c>
      <c r="E60" s="153">
        <f>E61</f>
        <v>10000</v>
      </c>
      <c r="F60" s="153">
        <f>F61</f>
        <v>0</v>
      </c>
      <c r="G60" s="153">
        <f>G61</f>
        <v>24000</v>
      </c>
    </row>
    <row r="61" spans="1:7" ht="16.5" thickBot="1" x14ac:dyDescent="0.3">
      <c r="A61" s="151" t="s">
        <v>331</v>
      </c>
      <c r="B61" s="141">
        <v>852</v>
      </c>
      <c r="C61" s="141">
        <v>290</v>
      </c>
      <c r="D61" s="153">
        <f t="shared" si="1"/>
        <v>34000</v>
      </c>
      <c r="E61" s="153">
        <f>ф.3!G32</f>
        <v>10000</v>
      </c>
      <c r="F61" s="153">
        <v>0</v>
      </c>
      <c r="G61" s="153">
        <f>ф.5!I31+ф.6!I32</f>
        <v>24000</v>
      </c>
    </row>
    <row r="62" spans="1:7" ht="16.5" thickBot="1" x14ac:dyDescent="0.3">
      <c r="A62" s="151" t="s">
        <v>339</v>
      </c>
      <c r="B62" s="141">
        <v>853</v>
      </c>
      <c r="C62" s="141" t="s">
        <v>148</v>
      </c>
      <c r="D62" s="153">
        <f t="shared" si="1"/>
        <v>0</v>
      </c>
      <c r="E62" s="153">
        <f>E63</f>
        <v>0</v>
      </c>
      <c r="F62" s="153">
        <f>F63</f>
        <v>0</v>
      </c>
      <c r="G62" s="153">
        <f>G63</f>
        <v>0</v>
      </c>
    </row>
    <row r="63" spans="1:7" ht="16.5" thickBot="1" x14ac:dyDescent="0.3">
      <c r="A63" s="151" t="s">
        <v>331</v>
      </c>
      <c r="B63" s="141">
        <v>853</v>
      </c>
      <c r="C63" s="141">
        <v>290</v>
      </c>
      <c r="D63" s="153">
        <f t="shared" si="1"/>
        <v>0</v>
      </c>
      <c r="E63" s="153">
        <v>0</v>
      </c>
      <c r="F63" s="153">
        <v>0</v>
      </c>
      <c r="G63" s="153">
        <f>ф.6!I33</f>
        <v>0</v>
      </c>
    </row>
    <row r="64" spans="1:7" ht="16.5" thickBot="1" x14ac:dyDescent="0.3">
      <c r="A64" s="151"/>
      <c r="B64" s="141"/>
      <c r="C64" s="141"/>
      <c r="D64" s="153"/>
      <c r="E64" s="153"/>
      <c r="F64" s="153"/>
      <c r="G64" s="153"/>
    </row>
    <row r="65" spans="1:7" ht="16.5" thickBot="1" x14ac:dyDescent="0.3">
      <c r="A65" s="151" t="s">
        <v>340</v>
      </c>
      <c r="B65" s="141" t="s">
        <v>148</v>
      </c>
      <c r="C65" s="141">
        <v>500</v>
      </c>
      <c r="D65" s="153"/>
      <c r="E65" s="153"/>
      <c r="F65" s="153"/>
      <c r="G65" s="153"/>
    </row>
    <row r="66" spans="1:7" ht="15" customHeight="1" x14ac:dyDescent="0.25">
      <c r="A66" s="152" t="s">
        <v>99</v>
      </c>
      <c r="B66" s="193" t="s">
        <v>148</v>
      </c>
      <c r="C66" s="193">
        <v>510</v>
      </c>
      <c r="D66" s="191"/>
      <c r="E66" s="191"/>
      <c r="F66" s="191"/>
      <c r="G66" s="191"/>
    </row>
    <row r="67" spans="1:7" ht="15.75" customHeight="1" thickBot="1" x14ac:dyDescent="0.3">
      <c r="A67" s="151" t="s">
        <v>341</v>
      </c>
      <c r="B67" s="194"/>
      <c r="C67" s="194"/>
      <c r="D67" s="192"/>
      <c r="E67" s="192"/>
      <c r="F67" s="192"/>
      <c r="G67" s="192"/>
    </row>
    <row r="68" spans="1:7" ht="16.5" thickBot="1" x14ac:dyDescent="0.3">
      <c r="A68" s="151" t="s">
        <v>342</v>
      </c>
      <c r="B68" s="141" t="s">
        <v>148</v>
      </c>
      <c r="C68" s="141"/>
      <c r="D68" s="153"/>
      <c r="E68" s="153"/>
      <c r="F68" s="153"/>
      <c r="G68" s="153"/>
    </row>
    <row r="69" spans="1:7" ht="16.5" thickBot="1" x14ac:dyDescent="0.3">
      <c r="A69" s="151" t="s">
        <v>343</v>
      </c>
      <c r="B69" s="141" t="s">
        <v>148</v>
      </c>
      <c r="C69" s="141">
        <v>600</v>
      </c>
      <c r="D69" s="153"/>
      <c r="E69" s="153"/>
      <c r="F69" s="153"/>
      <c r="G69" s="153"/>
    </row>
    <row r="70" spans="1:7" ht="15" customHeight="1" x14ac:dyDescent="0.25">
      <c r="A70" s="152" t="s">
        <v>99</v>
      </c>
      <c r="B70" s="193" t="s">
        <v>148</v>
      </c>
      <c r="C70" s="193">
        <v>610</v>
      </c>
      <c r="D70" s="191"/>
      <c r="E70" s="191"/>
      <c r="F70" s="191"/>
      <c r="G70" s="191"/>
    </row>
    <row r="71" spans="1:7" ht="15.75" customHeight="1" thickBot="1" x14ac:dyDescent="0.3">
      <c r="A71" s="151" t="s">
        <v>341</v>
      </c>
      <c r="B71" s="194"/>
      <c r="C71" s="194"/>
      <c r="D71" s="192"/>
      <c r="E71" s="192"/>
      <c r="F71" s="192"/>
      <c r="G71" s="192"/>
    </row>
    <row r="72" spans="1:7" ht="16.5" thickBot="1" x14ac:dyDescent="0.3">
      <c r="A72" s="138" t="s">
        <v>344</v>
      </c>
      <c r="B72" s="141"/>
      <c r="C72" s="141"/>
      <c r="D72" s="153"/>
      <c r="E72" s="153"/>
      <c r="F72" s="153"/>
      <c r="G72" s="153"/>
    </row>
    <row r="73" spans="1:7" ht="32.25" customHeight="1" thickBot="1" x14ac:dyDescent="0.3">
      <c r="A73" s="138" t="s">
        <v>345</v>
      </c>
      <c r="B73" s="141" t="s">
        <v>148</v>
      </c>
      <c r="C73" s="141" t="s">
        <v>148</v>
      </c>
      <c r="D73" s="153"/>
      <c r="E73" s="153"/>
      <c r="F73" s="153"/>
      <c r="G73" s="153"/>
    </row>
  </sheetData>
  <mergeCells count="82"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  <mergeCell ref="D12:D13"/>
    <mergeCell ref="G12:G13"/>
    <mergeCell ref="B15:B17"/>
    <mergeCell ref="C15:C17"/>
    <mergeCell ref="D15:D17"/>
    <mergeCell ref="E15:E17"/>
    <mergeCell ref="F15:F17"/>
    <mergeCell ref="G15:G17"/>
    <mergeCell ref="A16:A17"/>
    <mergeCell ref="A19:A20"/>
    <mergeCell ref="B19:B20"/>
    <mergeCell ref="C19:C20"/>
    <mergeCell ref="D19:D20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8:G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57:G58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70:G71"/>
    <mergeCell ref="B66:B67"/>
    <mergeCell ref="C66:C67"/>
    <mergeCell ref="D66:D67"/>
    <mergeCell ref="E66:E67"/>
    <mergeCell ref="F66:F67"/>
    <mergeCell ref="G66:G67"/>
    <mergeCell ref="B70:B71"/>
    <mergeCell ref="C70:C71"/>
    <mergeCell ref="D70:D71"/>
    <mergeCell ref="E70:E71"/>
    <mergeCell ref="F70:F71"/>
  </mergeCells>
  <pageMargins left="0.19685039370078741" right="0.19685039370078741" top="0" bottom="0" header="0.51181102362204722" footer="0.51181102362204722"/>
  <pageSetup paperSize="9" scale="48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Normal="100" workbookViewId="0">
      <selection activeCell="D42" sqref="D42"/>
    </sheetView>
  </sheetViews>
  <sheetFormatPr defaultRowHeight="15" x14ac:dyDescent="0.25"/>
  <cols>
    <col min="1" max="1" width="65.28515625" style="19" customWidth="1"/>
    <col min="2" max="2" width="17.7109375" style="19" customWidth="1"/>
    <col min="3" max="3" width="15.5703125" style="21" customWidth="1"/>
    <col min="4" max="4" width="27" style="19" customWidth="1"/>
    <col min="5" max="5" width="25.85546875" style="19" customWidth="1"/>
    <col min="6" max="6" width="26.7109375" style="19" customWidth="1"/>
    <col min="7" max="7" width="27" style="19" customWidth="1"/>
    <col min="8" max="8" width="10.7109375" style="19" customWidth="1"/>
    <col min="9" max="9" width="0" style="19" hidden="1" customWidth="1"/>
    <col min="10" max="10" width="14.140625" style="19" customWidth="1"/>
    <col min="11" max="11" width="13.85546875" style="19" customWidth="1"/>
    <col min="12" max="12" width="9.140625" style="19"/>
    <col min="13" max="13" width="14" style="19" customWidth="1"/>
    <col min="14" max="14" width="14.140625" style="19" customWidth="1"/>
    <col min="15" max="15" width="9.140625" style="19"/>
    <col min="16" max="16" width="14" style="19" customWidth="1"/>
    <col min="17" max="17" width="13.85546875" style="19" customWidth="1"/>
    <col min="18" max="16384" width="9.140625" style="19"/>
  </cols>
  <sheetData>
    <row r="1" spans="1:7" ht="18.75" x14ac:dyDescent="0.25">
      <c r="A1" s="188" t="s">
        <v>287</v>
      </c>
      <c r="B1" s="188"/>
      <c r="C1" s="188"/>
      <c r="D1" s="188"/>
      <c r="E1" s="188"/>
      <c r="F1" s="188"/>
      <c r="G1" s="188"/>
    </row>
    <row r="2" spans="1:7" ht="18.75" x14ac:dyDescent="0.25">
      <c r="A2" s="188" t="s">
        <v>347</v>
      </c>
      <c r="B2" s="188"/>
      <c r="C2" s="188"/>
      <c r="D2" s="188"/>
      <c r="E2" s="188"/>
      <c r="F2" s="188"/>
      <c r="G2" s="188"/>
    </row>
    <row r="3" spans="1:7" ht="15.75" thickBot="1" x14ac:dyDescent="0.3">
      <c r="A3" s="126"/>
      <c r="B3"/>
      <c r="C3"/>
      <c r="D3"/>
      <c r="E3"/>
      <c r="F3"/>
      <c r="G3"/>
    </row>
    <row r="4" spans="1:7" ht="16.5" customHeight="1" thickBot="1" x14ac:dyDescent="0.3">
      <c r="A4" s="200" t="s">
        <v>38</v>
      </c>
      <c r="B4" s="202" t="s">
        <v>289</v>
      </c>
      <c r="C4" s="203"/>
      <c r="D4" s="202" t="s">
        <v>290</v>
      </c>
      <c r="E4" s="204"/>
      <c r="F4" s="204"/>
      <c r="G4" s="203"/>
    </row>
    <row r="5" spans="1:7" ht="15" customHeight="1" x14ac:dyDescent="0.25">
      <c r="A5" s="201"/>
      <c r="B5" s="200" t="s">
        <v>291</v>
      </c>
      <c r="C5" s="200" t="s">
        <v>292</v>
      </c>
      <c r="D5" s="200" t="s">
        <v>293</v>
      </c>
      <c r="E5" s="206" t="s">
        <v>39</v>
      </c>
      <c r="F5" s="207"/>
      <c r="G5" s="208"/>
    </row>
    <row r="6" spans="1:7" ht="15.75" customHeight="1" thickBot="1" x14ac:dyDescent="0.3">
      <c r="A6" s="201"/>
      <c r="B6" s="201"/>
      <c r="C6" s="201"/>
      <c r="D6" s="201"/>
      <c r="E6" s="209"/>
      <c r="F6" s="210"/>
      <c r="G6" s="211"/>
    </row>
    <row r="7" spans="1:7" ht="15" customHeight="1" x14ac:dyDescent="0.25">
      <c r="A7" s="201"/>
      <c r="B7" s="201"/>
      <c r="C7" s="201"/>
      <c r="D7" s="201"/>
      <c r="E7" s="200" t="s">
        <v>294</v>
      </c>
      <c r="F7" s="200" t="s">
        <v>295</v>
      </c>
      <c r="G7" s="200" t="s">
        <v>296</v>
      </c>
    </row>
    <row r="8" spans="1:7" ht="15" customHeight="1" x14ac:dyDescent="0.25">
      <c r="A8" s="201"/>
      <c r="B8" s="201"/>
      <c r="C8" s="201"/>
      <c r="D8" s="201"/>
      <c r="E8" s="201"/>
      <c r="F8" s="201"/>
      <c r="G8" s="201"/>
    </row>
    <row r="9" spans="1:7" ht="90.75" customHeight="1" thickBot="1" x14ac:dyDescent="0.3">
      <c r="A9" s="201"/>
      <c r="B9" s="201"/>
      <c r="C9" s="201"/>
      <c r="D9" s="205"/>
      <c r="E9" s="201"/>
      <c r="F9" s="201"/>
      <c r="G9" s="201"/>
    </row>
    <row r="10" spans="1:7" ht="32.25" customHeight="1" thickBot="1" x14ac:dyDescent="0.3">
      <c r="A10" s="146" t="s">
        <v>297</v>
      </c>
      <c r="B10" s="147"/>
      <c r="C10" s="147"/>
      <c r="D10" s="154"/>
      <c r="E10" s="154"/>
      <c r="F10" s="154"/>
      <c r="G10" s="155"/>
    </row>
    <row r="11" spans="1:7" ht="16.5" thickBot="1" x14ac:dyDescent="0.3">
      <c r="A11" s="129" t="s">
        <v>298</v>
      </c>
      <c r="B11" s="141" t="s">
        <v>148</v>
      </c>
      <c r="C11" s="141"/>
      <c r="D11" s="153">
        <f>E11+F11+G11</f>
        <v>46944506</v>
      </c>
      <c r="E11" s="153">
        <f>E19</f>
        <v>37179770</v>
      </c>
      <c r="F11" s="153">
        <f>F22</f>
        <v>8474100</v>
      </c>
      <c r="G11" s="153">
        <f>SUM(G12:G14)</f>
        <v>1290636</v>
      </c>
    </row>
    <row r="12" spans="1:7" ht="15.75" x14ac:dyDescent="0.25">
      <c r="A12" s="148" t="s">
        <v>39</v>
      </c>
      <c r="B12" s="149"/>
      <c r="C12" s="149"/>
      <c r="D12" s="191">
        <f>G12</f>
        <v>1043028</v>
      </c>
      <c r="E12" s="156"/>
      <c r="F12" s="156"/>
      <c r="G12" s="191">
        <f>ф.6!J6</f>
        <v>1043028</v>
      </c>
    </row>
    <row r="13" spans="1:7" ht="16.5" thickBot="1" x14ac:dyDescent="0.3">
      <c r="A13" s="138" t="s">
        <v>299</v>
      </c>
      <c r="B13" s="141" t="s">
        <v>148</v>
      </c>
      <c r="C13" s="141">
        <v>120</v>
      </c>
      <c r="D13" s="192"/>
      <c r="E13" s="153" t="s">
        <v>148</v>
      </c>
      <c r="F13" s="153" t="s">
        <v>148</v>
      </c>
      <c r="G13" s="192"/>
    </row>
    <row r="14" spans="1:7" ht="16.5" thickBot="1" x14ac:dyDescent="0.3">
      <c r="A14" s="138" t="s">
        <v>300</v>
      </c>
      <c r="B14" s="141" t="s">
        <v>148</v>
      </c>
      <c r="C14" s="141">
        <v>130</v>
      </c>
      <c r="D14" s="153">
        <f>E14+F14+G14</f>
        <v>247608</v>
      </c>
      <c r="E14" s="153">
        <v>0</v>
      </c>
      <c r="F14" s="153">
        <v>0</v>
      </c>
      <c r="G14" s="153">
        <f>G15+G18</f>
        <v>247608</v>
      </c>
    </row>
    <row r="15" spans="1:7" ht="15.75" x14ac:dyDescent="0.25">
      <c r="A15" s="148" t="s">
        <v>301</v>
      </c>
      <c r="B15" s="193" t="s">
        <v>148</v>
      </c>
      <c r="C15" s="193">
        <v>130</v>
      </c>
      <c r="D15" s="191">
        <f>G15</f>
        <v>0</v>
      </c>
      <c r="E15" s="191" t="s">
        <v>148</v>
      </c>
      <c r="F15" s="191" t="s">
        <v>148</v>
      </c>
      <c r="G15" s="191">
        <v>0</v>
      </c>
    </row>
    <row r="16" spans="1:7" ht="15" customHeight="1" x14ac:dyDescent="0.25">
      <c r="A16" s="195" t="s">
        <v>302</v>
      </c>
      <c r="B16" s="198"/>
      <c r="C16" s="198"/>
      <c r="D16" s="199"/>
      <c r="E16" s="199"/>
      <c r="F16" s="199"/>
      <c r="G16" s="199"/>
    </row>
    <row r="17" spans="1:7" ht="67.5" customHeight="1" thickBot="1" x14ac:dyDescent="0.3">
      <c r="A17" s="196"/>
      <c r="B17" s="194"/>
      <c r="C17" s="194"/>
      <c r="D17" s="192"/>
      <c r="E17" s="192"/>
      <c r="F17" s="192"/>
      <c r="G17" s="192"/>
    </row>
    <row r="18" spans="1:7" ht="52.5" customHeight="1" thickBot="1" x14ac:dyDescent="0.3">
      <c r="A18" s="138" t="s">
        <v>303</v>
      </c>
      <c r="B18" s="141" t="s">
        <v>148</v>
      </c>
      <c r="C18" s="141">
        <v>130</v>
      </c>
      <c r="D18" s="153">
        <f>G18</f>
        <v>247608</v>
      </c>
      <c r="E18" s="153" t="s">
        <v>148</v>
      </c>
      <c r="F18" s="153" t="s">
        <v>148</v>
      </c>
      <c r="G18" s="153">
        <f>ф.5!J7</f>
        <v>247608</v>
      </c>
    </row>
    <row r="19" spans="1:7" ht="15" customHeight="1" x14ac:dyDescent="0.25">
      <c r="A19" s="197" t="s">
        <v>304</v>
      </c>
      <c r="B19" s="193" t="s">
        <v>148</v>
      </c>
      <c r="C19" s="193">
        <v>130</v>
      </c>
      <c r="D19" s="191">
        <f>E19</f>
        <v>37179770</v>
      </c>
      <c r="E19" s="191">
        <f>ф.3!H8</f>
        <v>37179770</v>
      </c>
      <c r="F19" s="191" t="s">
        <v>148</v>
      </c>
      <c r="G19" s="191" t="s">
        <v>148</v>
      </c>
    </row>
    <row r="20" spans="1:7" ht="15.75" customHeight="1" thickBot="1" x14ac:dyDescent="0.3">
      <c r="A20" s="196"/>
      <c r="B20" s="194"/>
      <c r="C20" s="194"/>
      <c r="D20" s="192"/>
      <c r="E20" s="192"/>
      <c r="F20" s="192"/>
      <c r="G20" s="192"/>
    </row>
    <row r="21" spans="1:7" ht="32.25" thickBot="1" x14ac:dyDescent="0.3">
      <c r="A21" s="138" t="s">
        <v>305</v>
      </c>
      <c r="B21" s="141" t="s">
        <v>306</v>
      </c>
      <c r="C21" s="141">
        <v>140</v>
      </c>
      <c r="D21" s="153">
        <f>G21</f>
        <v>0</v>
      </c>
      <c r="E21" s="153" t="s">
        <v>148</v>
      </c>
      <c r="F21" s="153" t="s">
        <v>148</v>
      </c>
      <c r="G21" s="153">
        <v>0</v>
      </c>
    </row>
    <row r="22" spans="1:7" ht="32.25" customHeight="1" thickBot="1" x14ac:dyDescent="0.3">
      <c r="A22" s="138" t="s">
        <v>307</v>
      </c>
      <c r="B22" s="141" t="s">
        <v>148</v>
      </c>
      <c r="C22" s="141">
        <v>180</v>
      </c>
      <c r="D22" s="153">
        <f>F22</f>
        <v>8474100</v>
      </c>
      <c r="E22" s="153" t="s">
        <v>148</v>
      </c>
      <c r="F22" s="153">
        <f>ф.4!J9+ф.4!J23+'ф.4 (2)'!J9+'ф.4 (2)'!J23+'ф.4 (3)'!J9+'ф.4 (4)'!J9+'ф.4 (4)'!J26+'ф.4 (5)'!J9+'ф.4 (5)'!J22</f>
        <v>8474100</v>
      </c>
      <c r="G22" s="153" t="s">
        <v>148</v>
      </c>
    </row>
    <row r="23" spans="1:7" ht="16.5" thickBot="1" x14ac:dyDescent="0.3">
      <c r="A23" s="138" t="s">
        <v>308</v>
      </c>
      <c r="B23" s="141" t="s">
        <v>148</v>
      </c>
      <c r="C23" s="141">
        <v>180</v>
      </c>
      <c r="D23" s="153">
        <f>G23</f>
        <v>0</v>
      </c>
      <c r="E23" s="153" t="s">
        <v>148</v>
      </c>
      <c r="F23" s="153" t="s">
        <v>148</v>
      </c>
      <c r="G23" s="153">
        <v>0</v>
      </c>
    </row>
    <row r="24" spans="1:7" ht="16.5" thickBot="1" x14ac:dyDescent="0.3">
      <c r="A24" s="138" t="s">
        <v>309</v>
      </c>
      <c r="B24" s="141" t="s">
        <v>148</v>
      </c>
      <c r="C24" s="141" t="s">
        <v>148</v>
      </c>
      <c r="D24" s="153">
        <f>G24</f>
        <v>0</v>
      </c>
      <c r="E24" s="153" t="s">
        <v>148</v>
      </c>
      <c r="F24" s="153" t="s">
        <v>148</v>
      </c>
      <c r="G24" s="153">
        <v>0</v>
      </c>
    </row>
    <row r="25" spans="1:7" ht="16.5" thickBot="1" x14ac:dyDescent="0.3">
      <c r="A25" s="138"/>
      <c r="B25" s="141"/>
      <c r="C25" s="141"/>
      <c r="D25" s="153"/>
      <c r="E25" s="153"/>
      <c r="F25" s="153"/>
      <c r="G25" s="153"/>
    </row>
    <row r="26" spans="1:7" ht="16.5" thickBot="1" x14ac:dyDescent="0.3">
      <c r="A26" s="129" t="s">
        <v>310</v>
      </c>
      <c r="B26" s="141" t="s">
        <v>148</v>
      </c>
      <c r="C26" s="141" t="s">
        <v>148</v>
      </c>
      <c r="D26" s="153">
        <f>E26+F26+G26</f>
        <v>46944506</v>
      </c>
      <c r="E26" s="153">
        <f>E27+E35+E52+E56</f>
        <v>37179770</v>
      </c>
      <c r="F26" s="153">
        <f>F27+F35+F52+F56</f>
        <v>8474100</v>
      </c>
      <c r="G26" s="153">
        <f>G27+G35+G52+G56</f>
        <v>1290636</v>
      </c>
    </row>
    <row r="27" spans="1:7" ht="31.5" x14ac:dyDescent="0.25">
      <c r="A27" s="148" t="s">
        <v>311</v>
      </c>
      <c r="B27" s="193">
        <v>100</v>
      </c>
      <c r="C27" s="193" t="s">
        <v>148</v>
      </c>
      <c r="D27" s="191">
        <f>E27+F27+G27</f>
        <v>34394500</v>
      </c>
      <c r="E27" s="191">
        <f>E29</f>
        <v>33129000</v>
      </c>
      <c r="F27" s="191">
        <f>F29</f>
        <v>1248000</v>
      </c>
      <c r="G27" s="191">
        <f>G29</f>
        <v>17500</v>
      </c>
    </row>
    <row r="28" spans="1:7" ht="16.5" thickBot="1" x14ac:dyDescent="0.3">
      <c r="A28" s="138" t="s">
        <v>312</v>
      </c>
      <c r="B28" s="194"/>
      <c r="C28" s="194"/>
      <c r="D28" s="192"/>
      <c r="E28" s="192"/>
      <c r="F28" s="192"/>
      <c r="G28" s="192"/>
    </row>
    <row r="29" spans="1:7" ht="15.75" x14ac:dyDescent="0.25">
      <c r="A29" s="148" t="s">
        <v>313</v>
      </c>
      <c r="B29" s="193">
        <v>110</v>
      </c>
      <c r="C29" s="193">
        <v>210</v>
      </c>
      <c r="D29" s="191">
        <f>E29+F29+G29</f>
        <v>34394500</v>
      </c>
      <c r="E29" s="191">
        <f>SUM(E31:E34)</f>
        <v>33129000</v>
      </c>
      <c r="F29" s="191">
        <f>SUM(F31:F34)</f>
        <v>1248000</v>
      </c>
      <c r="G29" s="191">
        <f>SUM(G31:G34)</f>
        <v>17500</v>
      </c>
    </row>
    <row r="30" spans="1:7" ht="32.25" customHeight="1" thickBot="1" x14ac:dyDescent="0.3">
      <c r="A30" s="138" t="s">
        <v>314</v>
      </c>
      <c r="B30" s="194"/>
      <c r="C30" s="194"/>
      <c r="D30" s="192"/>
      <c r="E30" s="192"/>
      <c r="F30" s="192"/>
      <c r="G30" s="192"/>
    </row>
    <row r="31" spans="1:7" ht="15.75" x14ac:dyDescent="0.25">
      <c r="A31" s="148" t="s">
        <v>301</v>
      </c>
      <c r="B31" s="193">
        <v>111</v>
      </c>
      <c r="C31" s="193">
        <v>211</v>
      </c>
      <c r="D31" s="191">
        <f>E31+F31+G31</f>
        <v>25459000</v>
      </c>
      <c r="E31" s="191">
        <f>ф.3!H11</f>
        <v>25459000</v>
      </c>
      <c r="F31" s="191">
        <v>0</v>
      </c>
      <c r="G31" s="191">
        <v>0</v>
      </c>
    </row>
    <row r="32" spans="1:7" ht="16.5" thickBot="1" x14ac:dyDescent="0.3">
      <c r="A32" s="138" t="s">
        <v>315</v>
      </c>
      <c r="B32" s="194"/>
      <c r="C32" s="194"/>
      <c r="D32" s="192"/>
      <c r="E32" s="192"/>
      <c r="F32" s="192"/>
      <c r="G32" s="192"/>
    </row>
    <row r="33" spans="1:7" ht="39.75" customHeight="1" thickBot="1" x14ac:dyDescent="0.3">
      <c r="A33" s="150" t="s">
        <v>316</v>
      </c>
      <c r="B33" s="141">
        <v>112</v>
      </c>
      <c r="C33" s="141">
        <v>212</v>
      </c>
      <c r="D33" s="153">
        <f>E33+F33+G33</f>
        <v>1247500</v>
      </c>
      <c r="E33" s="153">
        <f>ф.3!H12</f>
        <v>32000</v>
      </c>
      <c r="F33" s="153">
        <f>ф.4!J12+ф.4!J26</f>
        <v>1198000</v>
      </c>
      <c r="G33" s="153">
        <f>ф.5!J11+ф.6!J10</f>
        <v>17500</v>
      </c>
    </row>
    <row r="34" spans="1:7" ht="54" customHeight="1" thickBot="1" x14ac:dyDescent="0.3">
      <c r="A34" s="150" t="s">
        <v>317</v>
      </c>
      <c r="B34" s="141">
        <v>119</v>
      </c>
      <c r="C34" s="141">
        <v>213</v>
      </c>
      <c r="D34" s="153">
        <f>E34+F34+G34</f>
        <v>7688000</v>
      </c>
      <c r="E34" s="153">
        <f>ф.3!H13</f>
        <v>7638000</v>
      </c>
      <c r="F34" s="153">
        <f>ф.4!J13+ф.4!J27</f>
        <v>50000</v>
      </c>
      <c r="G34" s="153">
        <v>0</v>
      </c>
    </row>
    <row r="35" spans="1:7" ht="39.75" customHeight="1" thickBot="1" x14ac:dyDescent="0.3">
      <c r="A35" s="138" t="s">
        <v>318</v>
      </c>
      <c r="B35" s="141">
        <v>200</v>
      </c>
      <c r="C35" s="141" t="s">
        <v>148</v>
      </c>
      <c r="D35" s="153">
        <f>E35+F35+G35</f>
        <v>12025006</v>
      </c>
      <c r="E35" s="153">
        <f>E36</f>
        <v>3659770</v>
      </c>
      <c r="F35" s="153">
        <f>F36</f>
        <v>7116100</v>
      </c>
      <c r="G35" s="153">
        <f>G36</f>
        <v>1249136</v>
      </c>
    </row>
    <row r="36" spans="1:7" ht="15.75" x14ac:dyDescent="0.25">
      <c r="A36" s="148" t="s">
        <v>319</v>
      </c>
      <c r="B36" s="193">
        <v>240</v>
      </c>
      <c r="C36" s="193" t="s">
        <v>148</v>
      </c>
      <c r="D36" s="191">
        <f>E36+F36+G36</f>
        <v>12025006</v>
      </c>
      <c r="E36" s="191">
        <f>E38+E42</f>
        <v>3659770</v>
      </c>
      <c r="F36" s="191">
        <f>F38+F42</f>
        <v>7116100</v>
      </c>
      <c r="G36" s="191">
        <f>G38+G42</f>
        <v>1249136</v>
      </c>
    </row>
    <row r="37" spans="1:7" ht="48" customHeight="1" thickBot="1" x14ac:dyDescent="0.3">
      <c r="A37" s="138" t="s">
        <v>320</v>
      </c>
      <c r="B37" s="194"/>
      <c r="C37" s="194"/>
      <c r="D37" s="192"/>
      <c r="E37" s="192"/>
      <c r="F37" s="192"/>
      <c r="G37" s="192"/>
    </row>
    <row r="38" spans="1:7" ht="15.75" x14ac:dyDescent="0.25">
      <c r="A38" s="148" t="s">
        <v>301</v>
      </c>
      <c r="B38" s="193">
        <v>243</v>
      </c>
      <c r="C38" s="193" t="s">
        <v>148</v>
      </c>
      <c r="D38" s="191">
        <f>E38+F38+G38</f>
        <v>0</v>
      </c>
      <c r="E38" s="191">
        <f>SUM(E40:E41)</f>
        <v>0</v>
      </c>
      <c r="F38" s="191">
        <f>SUM(F40:F41)</f>
        <v>0</v>
      </c>
      <c r="G38" s="191">
        <f>SUM(G40:G41)</f>
        <v>0</v>
      </c>
    </row>
    <row r="39" spans="1:7" ht="39" customHeight="1" thickBot="1" x14ac:dyDescent="0.3">
      <c r="A39" s="138" t="s">
        <v>321</v>
      </c>
      <c r="B39" s="194"/>
      <c r="C39" s="194"/>
      <c r="D39" s="192"/>
      <c r="E39" s="192"/>
      <c r="F39" s="192"/>
      <c r="G39" s="192"/>
    </row>
    <row r="40" spans="1:7" ht="17.25" customHeight="1" thickBot="1" x14ac:dyDescent="0.3">
      <c r="A40" s="138" t="s">
        <v>322</v>
      </c>
      <c r="B40" s="141" t="s">
        <v>323</v>
      </c>
      <c r="C40" s="141">
        <v>225</v>
      </c>
      <c r="D40" s="153">
        <f>E40+F40+G40</f>
        <v>0</v>
      </c>
      <c r="E40" s="153">
        <v>0</v>
      </c>
      <c r="F40" s="153">
        <v>0</v>
      </c>
      <c r="G40" s="153">
        <v>0</v>
      </c>
    </row>
    <row r="41" spans="1:7" ht="16.5" thickBot="1" x14ac:dyDescent="0.3">
      <c r="A41" s="138" t="s">
        <v>324</v>
      </c>
      <c r="B41" s="141" t="s">
        <v>323</v>
      </c>
      <c r="C41" s="141">
        <v>226</v>
      </c>
      <c r="D41" s="153">
        <f>E41+F41+G41</f>
        <v>0</v>
      </c>
      <c r="E41" s="153">
        <v>0</v>
      </c>
      <c r="F41" s="153">
        <v>0</v>
      </c>
      <c r="G41" s="153">
        <v>0</v>
      </c>
    </row>
    <row r="42" spans="1:7" ht="38.25" customHeight="1" thickBot="1" x14ac:dyDescent="0.3">
      <c r="A42" s="150" t="s">
        <v>325</v>
      </c>
      <c r="B42" s="141">
        <v>244</v>
      </c>
      <c r="C42" s="141" t="s">
        <v>148</v>
      </c>
      <c r="D42" s="153">
        <f>E42+F42+G42</f>
        <v>12025006</v>
      </c>
      <c r="E42" s="153">
        <f>SUM(E43:E51)</f>
        <v>3659770</v>
      </c>
      <c r="F42" s="153">
        <f>SUM(F43:F51)</f>
        <v>7116100</v>
      </c>
      <c r="G42" s="153">
        <f>SUM(G43:G51)</f>
        <v>1249136</v>
      </c>
    </row>
    <row r="43" spans="1:7" ht="16.5" thickBot="1" x14ac:dyDescent="0.3">
      <c r="A43" s="138" t="s">
        <v>326</v>
      </c>
      <c r="B43" s="141">
        <v>244</v>
      </c>
      <c r="C43" s="141">
        <v>221</v>
      </c>
      <c r="D43" s="153">
        <f t="shared" ref="D43:D51" si="0">E43+F43+G43</f>
        <v>312000</v>
      </c>
      <c r="E43" s="153">
        <f>ф.3!H16</f>
        <v>305000</v>
      </c>
      <c r="F43" s="153">
        <v>0</v>
      </c>
      <c r="G43" s="153">
        <f>ф.5!J15+ф.6!J14</f>
        <v>7000</v>
      </c>
    </row>
    <row r="44" spans="1:7" ht="16.5" thickBot="1" x14ac:dyDescent="0.3">
      <c r="A44" s="138" t="s">
        <v>327</v>
      </c>
      <c r="B44" s="141">
        <v>244</v>
      </c>
      <c r="C44" s="141">
        <v>222</v>
      </c>
      <c r="D44" s="153">
        <f t="shared" si="0"/>
        <v>159000</v>
      </c>
      <c r="E44" s="153">
        <f>ф.3!H17</f>
        <v>159000</v>
      </c>
      <c r="F44" s="153">
        <v>0</v>
      </c>
      <c r="G44" s="153">
        <f>ф.5!J16+ф.6!J15</f>
        <v>0</v>
      </c>
    </row>
    <row r="45" spans="1:7" ht="16.5" thickBot="1" x14ac:dyDescent="0.3">
      <c r="A45" s="138" t="s">
        <v>328</v>
      </c>
      <c r="B45" s="141">
        <v>244</v>
      </c>
      <c r="C45" s="141">
        <v>223</v>
      </c>
      <c r="D45" s="153">
        <f t="shared" si="0"/>
        <v>1382395</v>
      </c>
      <c r="E45" s="153">
        <f>ф.3!H18</f>
        <v>1115070</v>
      </c>
      <c r="F45" s="153">
        <v>0</v>
      </c>
      <c r="G45" s="153">
        <f>ф.5!J17+ф.6!J16</f>
        <v>267325</v>
      </c>
    </row>
    <row r="46" spans="1:7" ht="18" customHeight="1" thickBot="1" x14ac:dyDescent="0.3">
      <c r="A46" s="138" t="s">
        <v>329</v>
      </c>
      <c r="B46" s="141">
        <v>244</v>
      </c>
      <c r="C46" s="141">
        <v>224</v>
      </c>
      <c r="D46" s="153">
        <f t="shared" si="0"/>
        <v>0</v>
      </c>
      <c r="E46" s="153">
        <f>ф.3!H19</f>
        <v>0</v>
      </c>
      <c r="F46" s="153">
        <v>0</v>
      </c>
      <c r="G46" s="153">
        <f>ф.5!J18+ф.6!J17</f>
        <v>0</v>
      </c>
    </row>
    <row r="47" spans="1:7" ht="18.75" customHeight="1" thickBot="1" x14ac:dyDescent="0.3">
      <c r="A47" s="138" t="s">
        <v>322</v>
      </c>
      <c r="B47" s="141" t="s">
        <v>330</v>
      </c>
      <c r="C47" s="141">
        <v>225</v>
      </c>
      <c r="D47" s="153">
        <f t="shared" si="0"/>
        <v>919470</v>
      </c>
      <c r="E47" s="153">
        <f>ф.3!H20</f>
        <v>649000</v>
      </c>
      <c r="F47" s="153">
        <f>'ф.4 (2)'!J12+'ф.4 (3)'!J18+'ф.4 (5)'!J25</f>
        <v>36000</v>
      </c>
      <c r="G47" s="153">
        <f>ф.5!J19+ф.6!J18</f>
        <v>234470</v>
      </c>
    </row>
    <row r="48" spans="1:7" ht="16.5" thickBot="1" x14ac:dyDescent="0.3">
      <c r="A48" s="138" t="s">
        <v>324</v>
      </c>
      <c r="B48" s="141" t="s">
        <v>330</v>
      </c>
      <c r="C48" s="141">
        <v>226</v>
      </c>
      <c r="D48" s="153">
        <f t="shared" si="0"/>
        <v>2680513</v>
      </c>
      <c r="E48" s="153">
        <f>ф.3!H21</f>
        <v>906700</v>
      </c>
      <c r="F48" s="153">
        <f>'ф.4 (2)'!J13+'ф.4 (2)'!J26+'ф.4 (3)'!J19+'ф.4 (4)'!J12+'ф.4 (4)'!J29+'ф.4 (5)'!J12+'ф.4 (5)'!J26</f>
        <v>1436700</v>
      </c>
      <c r="G48" s="153">
        <f>ф.5!J20+ф.6!J19</f>
        <v>337113</v>
      </c>
    </row>
    <row r="49" spans="1:7" ht="16.5" thickBot="1" x14ac:dyDescent="0.3">
      <c r="A49" s="138" t="s">
        <v>331</v>
      </c>
      <c r="B49" s="141">
        <v>244</v>
      </c>
      <c r="C49" s="141">
        <v>290</v>
      </c>
      <c r="D49" s="153">
        <f t="shared" si="0"/>
        <v>4929480</v>
      </c>
      <c r="E49" s="153">
        <f>ф.3!H22</f>
        <v>0</v>
      </c>
      <c r="F49" s="153">
        <f>'ф.4 (2)'!J27+'ф.4 (3)'!J20+'ф.4 (4)'!J13+'ф.4 (4)'!J30</f>
        <v>4929480</v>
      </c>
      <c r="G49" s="153">
        <f>ф.5!J21+ф.6!J20</f>
        <v>0</v>
      </c>
    </row>
    <row r="50" spans="1:7" ht="16.5" thickBot="1" x14ac:dyDescent="0.3">
      <c r="A50" s="138" t="s">
        <v>332</v>
      </c>
      <c r="B50" s="141">
        <v>244</v>
      </c>
      <c r="C50" s="141">
        <v>310</v>
      </c>
      <c r="D50" s="153">
        <f t="shared" si="0"/>
        <v>215828</v>
      </c>
      <c r="E50" s="153">
        <f>ф.3!H24</f>
        <v>0</v>
      </c>
      <c r="F50" s="153">
        <v>0</v>
      </c>
      <c r="G50" s="153">
        <f>ф.5!J23+ф.6!J22</f>
        <v>215828</v>
      </c>
    </row>
    <row r="51" spans="1:7" ht="18.75" customHeight="1" thickBot="1" x14ac:dyDescent="0.3">
      <c r="A51" s="138" t="s">
        <v>333</v>
      </c>
      <c r="B51" s="141">
        <v>244</v>
      </c>
      <c r="C51" s="141">
        <v>340</v>
      </c>
      <c r="D51" s="153">
        <f t="shared" si="0"/>
        <v>1426320</v>
      </c>
      <c r="E51" s="153">
        <f>ф.3!H25</f>
        <v>525000</v>
      </c>
      <c r="F51" s="153">
        <f>'ф.4 (2)'!J28+'ф.4 (3)'!J23+'ф.4 (4)'!J14+'ф.4 (4)'!J31</f>
        <v>713920</v>
      </c>
      <c r="G51" s="153">
        <f>ф.5!J24+ф.6!J23</f>
        <v>187400</v>
      </c>
    </row>
    <row r="52" spans="1:7" ht="23.25" customHeight="1" thickBot="1" x14ac:dyDescent="0.3">
      <c r="A52" s="151" t="s">
        <v>334</v>
      </c>
      <c r="B52" s="141">
        <v>300</v>
      </c>
      <c r="C52" s="141" t="s">
        <v>148</v>
      </c>
      <c r="D52" s="153">
        <f>E52+F52+G52</f>
        <v>110000</v>
      </c>
      <c r="E52" s="153">
        <f>E53</f>
        <v>0</v>
      </c>
      <c r="F52" s="153">
        <f>F53</f>
        <v>110000</v>
      </c>
      <c r="G52" s="153">
        <f>G53</f>
        <v>0</v>
      </c>
    </row>
    <row r="53" spans="1:7" ht="15" customHeight="1" x14ac:dyDescent="0.25">
      <c r="A53" s="152" t="s">
        <v>319</v>
      </c>
      <c r="B53" s="193">
        <v>350</v>
      </c>
      <c r="C53" s="193" t="s">
        <v>148</v>
      </c>
      <c r="D53" s="191">
        <f>E53+F53+G53</f>
        <v>110000</v>
      </c>
      <c r="E53" s="191">
        <f>E55</f>
        <v>0</v>
      </c>
      <c r="F53" s="191">
        <f>F55</f>
        <v>110000</v>
      </c>
      <c r="G53" s="191">
        <v>0</v>
      </c>
    </row>
    <row r="54" spans="1:7" ht="15.75" customHeight="1" thickBot="1" x14ac:dyDescent="0.3">
      <c r="A54" s="151" t="s">
        <v>335</v>
      </c>
      <c r="B54" s="194"/>
      <c r="C54" s="194"/>
      <c r="D54" s="192"/>
      <c r="E54" s="192"/>
      <c r="F54" s="192"/>
      <c r="G54" s="192"/>
    </row>
    <row r="55" spans="1:7" ht="16.5" thickBot="1" x14ac:dyDescent="0.3">
      <c r="A55" s="151" t="s">
        <v>331</v>
      </c>
      <c r="B55" s="141">
        <v>350</v>
      </c>
      <c r="C55" s="141">
        <v>290</v>
      </c>
      <c r="D55" s="153">
        <f>E55+F55+G55</f>
        <v>110000</v>
      </c>
      <c r="E55" s="153">
        <v>0</v>
      </c>
      <c r="F55" s="153">
        <f>'ф.4 (2)'!J30+'ф.4 (3)'!J29+'ф.4 (4)'!J16+'ф.4 (4)'!J33</f>
        <v>110000</v>
      </c>
      <c r="G55" s="153">
        <f>ф.6!J29</f>
        <v>0</v>
      </c>
    </row>
    <row r="56" spans="1:7" ht="16.5" thickBot="1" x14ac:dyDescent="0.3">
      <c r="A56" s="151" t="s">
        <v>336</v>
      </c>
      <c r="B56" s="141">
        <v>800</v>
      </c>
      <c r="C56" s="141" t="s">
        <v>148</v>
      </c>
      <c r="D56" s="153">
        <f>E56+F56+G56</f>
        <v>415000</v>
      </c>
      <c r="E56" s="153">
        <f>SUM(E57+E60+E62)</f>
        <v>391000</v>
      </c>
      <c r="F56" s="153">
        <f>F57+F60+F62</f>
        <v>0</v>
      </c>
      <c r="G56" s="153">
        <f>G57+G60+G62</f>
        <v>24000</v>
      </c>
    </row>
    <row r="57" spans="1:7" ht="15" customHeight="1" x14ac:dyDescent="0.25">
      <c r="A57" s="152" t="s">
        <v>319</v>
      </c>
      <c r="B57" s="193">
        <v>851</v>
      </c>
      <c r="C57" s="193" t="s">
        <v>148</v>
      </c>
      <c r="D57" s="191">
        <f>E57+F57+G57</f>
        <v>381000</v>
      </c>
      <c r="E57" s="191">
        <f>E59</f>
        <v>381000</v>
      </c>
      <c r="F57" s="191">
        <f>F59</f>
        <v>0</v>
      </c>
      <c r="G57" s="191">
        <f>G59</f>
        <v>0</v>
      </c>
    </row>
    <row r="58" spans="1:7" ht="15.75" customHeight="1" thickBot="1" x14ac:dyDescent="0.3">
      <c r="A58" s="151" t="s">
        <v>337</v>
      </c>
      <c r="B58" s="194"/>
      <c r="C58" s="194"/>
      <c r="D58" s="192"/>
      <c r="E58" s="192"/>
      <c r="F58" s="192"/>
      <c r="G58" s="192"/>
    </row>
    <row r="59" spans="1:7" ht="16.5" thickBot="1" x14ac:dyDescent="0.3">
      <c r="A59" s="151" t="s">
        <v>331</v>
      </c>
      <c r="B59" s="141">
        <v>851</v>
      </c>
      <c r="C59" s="141">
        <v>290</v>
      </c>
      <c r="D59" s="153">
        <f>E59+F59+G59</f>
        <v>381000</v>
      </c>
      <c r="E59" s="153">
        <f>ф.3!H31</f>
        <v>381000</v>
      </c>
      <c r="F59" s="153">
        <v>0</v>
      </c>
      <c r="G59" s="153">
        <f>ф.5!J30+ф.6!J31</f>
        <v>0</v>
      </c>
    </row>
    <row r="60" spans="1:7" ht="16.5" thickBot="1" x14ac:dyDescent="0.3">
      <c r="A60" s="151" t="s">
        <v>338</v>
      </c>
      <c r="B60" s="141">
        <v>852</v>
      </c>
      <c r="C60" s="141" t="s">
        <v>148</v>
      </c>
      <c r="D60" s="153">
        <f t="shared" ref="D60:D63" si="1">E60+F60+G60</f>
        <v>34000</v>
      </c>
      <c r="E60" s="153">
        <f>E61</f>
        <v>10000</v>
      </c>
      <c r="F60" s="153">
        <f>F61</f>
        <v>0</v>
      </c>
      <c r="G60" s="153">
        <f>G61</f>
        <v>24000</v>
      </c>
    </row>
    <row r="61" spans="1:7" ht="16.5" thickBot="1" x14ac:dyDescent="0.3">
      <c r="A61" s="151" t="s">
        <v>331</v>
      </c>
      <c r="B61" s="141">
        <v>852</v>
      </c>
      <c r="C61" s="141">
        <v>290</v>
      </c>
      <c r="D61" s="153">
        <f t="shared" si="1"/>
        <v>34000</v>
      </c>
      <c r="E61" s="153">
        <f>ф.3!H32</f>
        <v>10000</v>
      </c>
      <c r="F61" s="153">
        <v>0</v>
      </c>
      <c r="G61" s="153">
        <f>ф.5!J31+ф.6!J32</f>
        <v>24000</v>
      </c>
    </row>
    <row r="62" spans="1:7" ht="16.5" thickBot="1" x14ac:dyDescent="0.3">
      <c r="A62" s="151" t="s">
        <v>339</v>
      </c>
      <c r="B62" s="141">
        <v>853</v>
      </c>
      <c r="C62" s="141" t="s">
        <v>148</v>
      </c>
      <c r="D62" s="153">
        <f t="shared" si="1"/>
        <v>0</v>
      </c>
      <c r="E62" s="153">
        <f>E63</f>
        <v>0</v>
      </c>
      <c r="F62" s="153">
        <f>F63</f>
        <v>0</v>
      </c>
      <c r="G62" s="153">
        <f>G63</f>
        <v>0</v>
      </c>
    </row>
    <row r="63" spans="1:7" ht="16.5" thickBot="1" x14ac:dyDescent="0.3">
      <c r="A63" s="151" t="s">
        <v>331</v>
      </c>
      <c r="B63" s="141">
        <v>853</v>
      </c>
      <c r="C63" s="141">
        <v>290</v>
      </c>
      <c r="D63" s="153">
        <f t="shared" si="1"/>
        <v>0</v>
      </c>
      <c r="E63" s="153">
        <v>0</v>
      </c>
      <c r="F63" s="153">
        <v>0</v>
      </c>
      <c r="G63" s="153">
        <f>ф.6!J33</f>
        <v>0</v>
      </c>
    </row>
    <row r="64" spans="1:7" ht="16.5" thickBot="1" x14ac:dyDescent="0.3">
      <c r="A64" s="151"/>
      <c r="B64" s="141"/>
      <c r="C64" s="141"/>
      <c r="D64" s="153"/>
      <c r="E64" s="153"/>
      <c r="F64" s="153"/>
      <c r="G64" s="153"/>
    </row>
    <row r="65" spans="1:7" ht="16.5" thickBot="1" x14ac:dyDescent="0.3">
      <c r="A65" s="151" t="s">
        <v>340</v>
      </c>
      <c r="B65" s="141" t="s">
        <v>148</v>
      </c>
      <c r="C65" s="141">
        <v>500</v>
      </c>
      <c r="D65" s="153"/>
      <c r="E65" s="153"/>
      <c r="F65" s="153"/>
      <c r="G65" s="153"/>
    </row>
    <row r="66" spans="1:7" ht="15" customHeight="1" x14ac:dyDescent="0.25">
      <c r="A66" s="152" t="s">
        <v>99</v>
      </c>
      <c r="B66" s="193" t="s">
        <v>148</v>
      </c>
      <c r="C66" s="193">
        <v>510</v>
      </c>
      <c r="D66" s="191"/>
      <c r="E66" s="191"/>
      <c r="F66" s="191"/>
      <c r="G66" s="191"/>
    </row>
    <row r="67" spans="1:7" ht="15.75" customHeight="1" thickBot="1" x14ac:dyDescent="0.3">
      <c r="A67" s="151" t="s">
        <v>341</v>
      </c>
      <c r="B67" s="194"/>
      <c r="C67" s="194"/>
      <c r="D67" s="192"/>
      <c r="E67" s="192"/>
      <c r="F67" s="192"/>
      <c r="G67" s="192"/>
    </row>
    <row r="68" spans="1:7" ht="16.5" thickBot="1" x14ac:dyDescent="0.3">
      <c r="A68" s="151" t="s">
        <v>342</v>
      </c>
      <c r="B68" s="141" t="s">
        <v>148</v>
      </c>
      <c r="C68" s="141"/>
      <c r="D68" s="153"/>
      <c r="E68" s="153"/>
      <c r="F68" s="153"/>
      <c r="G68" s="153"/>
    </row>
    <row r="69" spans="1:7" ht="16.5" thickBot="1" x14ac:dyDescent="0.3">
      <c r="A69" s="151" t="s">
        <v>343</v>
      </c>
      <c r="B69" s="141" t="s">
        <v>148</v>
      </c>
      <c r="C69" s="141">
        <v>600</v>
      </c>
      <c r="D69" s="153"/>
      <c r="E69" s="153"/>
      <c r="F69" s="153"/>
      <c r="G69" s="153"/>
    </row>
    <row r="70" spans="1:7" ht="15" customHeight="1" x14ac:dyDescent="0.25">
      <c r="A70" s="152" t="s">
        <v>99</v>
      </c>
      <c r="B70" s="193" t="s">
        <v>148</v>
      </c>
      <c r="C70" s="193">
        <v>610</v>
      </c>
      <c r="D70" s="191"/>
      <c r="E70" s="191"/>
      <c r="F70" s="191"/>
      <c r="G70" s="191"/>
    </row>
    <row r="71" spans="1:7" ht="15.75" customHeight="1" thickBot="1" x14ac:dyDescent="0.3">
      <c r="A71" s="151" t="s">
        <v>341</v>
      </c>
      <c r="B71" s="194"/>
      <c r="C71" s="194"/>
      <c r="D71" s="192"/>
      <c r="E71" s="192"/>
      <c r="F71" s="192"/>
      <c r="G71" s="192"/>
    </row>
    <row r="72" spans="1:7" ht="16.5" thickBot="1" x14ac:dyDescent="0.3">
      <c r="A72" s="138" t="s">
        <v>344</v>
      </c>
      <c r="B72" s="141"/>
      <c r="C72" s="141"/>
      <c r="D72" s="153"/>
      <c r="E72" s="153"/>
      <c r="F72" s="153"/>
      <c r="G72" s="153"/>
    </row>
    <row r="73" spans="1:7" ht="32.25" customHeight="1" thickBot="1" x14ac:dyDescent="0.3">
      <c r="A73" s="138" t="s">
        <v>345</v>
      </c>
      <c r="B73" s="141" t="s">
        <v>148</v>
      </c>
      <c r="C73" s="141" t="s">
        <v>148</v>
      </c>
      <c r="D73" s="153"/>
      <c r="E73" s="153"/>
      <c r="F73" s="153"/>
      <c r="G73" s="153"/>
    </row>
  </sheetData>
  <mergeCells count="82">
    <mergeCell ref="A1:G1"/>
    <mergeCell ref="A2:G2"/>
    <mergeCell ref="A4:A9"/>
    <mergeCell ref="B4:C4"/>
    <mergeCell ref="D4:G4"/>
    <mergeCell ref="B5:B9"/>
    <mergeCell ref="C5:C9"/>
    <mergeCell ref="D5:D9"/>
    <mergeCell ref="E5:G6"/>
    <mergeCell ref="E7:E9"/>
    <mergeCell ref="F7:F9"/>
    <mergeCell ref="G7:G9"/>
    <mergeCell ref="D12:D13"/>
    <mergeCell ref="G12:G13"/>
    <mergeCell ref="B15:B17"/>
    <mergeCell ref="C15:C17"/>
    <mergeCell ref="D15:D17"/>
    <mergeCell ref="E15:E17"/>
    <mergeCell ref="F15:F17"/>
    <mergeCell ref="G15:G17"/>
    <mergeCell ref="A16:A17"/>
    <mergeCell ref="A19:A20"/>
    <mergeCell ref="B19:B20"/>
    <mergeCell ref="C19:C20"/>
    <mergeCell ref="D19:D20"/>
    <mergeCell ref="F19:F20"/>
    <mergeCell ref="G19:G20"/>
    <mergeCell ref="B27:B28"/>
    <mergeCell ref="C27:C28"/>
    <mergeCell ref="D27:D28"/>
    <mergeCell ref="E27:E28"/>
    <mergeCell ref="F27:F28"/>
    <mergeCell ref="G27:G28"/>
    <mergeCell ref="E19:E20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8:G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57:G58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70:G71"/>
    <mergeCell ref="B66:B67"/>
    <mergeCell ref="C66:C67"/>
    <mergeCell ref="D66:D67"/>
    <mergeCell ref="E66:E67"/>
    <mergeCell ref="F66:F67"/>
    <mergeCell ref="G66:G67"/>
    <mergeCell ref="B70:B71"/>
    <mergeCell ref="C70:C71"/>
    <mergeCell ref="D70:D71"/>
    <mergeCell ref="E70:E71"/>
    <mergeCell ref="F70:F71"/>
  </mergeCells>
  <pageMargins left="0.19685039370078741" right="0.19685039370078741" top="0" bottom="0" header="0.51181102362204722" footer="0.51181102362204722"/>
  <pageSetup paperSize="9" scale="4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opLeftCell="A106" workbookViewId="0">
      <selection activeCell="A118" sqref="A118"/>
    </sheetView>
  </sheetViews>
  <sheetFormatPr defaultRowHeight="15" x14ac:dyDescent="0.25"/>
  <cols>
    <col min="1" max="1" width="36.85546875" customWidth="1"/>
    <col min="4" max="4" width="15.42578125" customWidth="1"/>
    <col min="5" max="5" width="13.85546875" customWidth="1"/>
    <col min="6" max="6" width="14.42578125" customWidth="1"/>
    <col min="7" max="7" width="9.140625" hidden="1" customWidth="1"/>
    <col min="8" max="8" width="13.42578125" customWidth="1"/>
    <col min="9" max="9" width="12.85546875" customWidth="1"/>
    <col min="10" max="10" width="12.7109375" customWidth="1"/>
    <col min="11" max="11" width="0.140625" customWidth="1"/>
    <col min="12" max="12" width="14.28515625" customWidth="1"/>
    <col min="13" max="13" width="13.85546875" customWidth="1"/>
    <col min="14" max="14" width="14" customWidth="1"/>
  </cols>
  <sheetData>
    <row r="1" spans="1:14" ht="18.75" x14ac:dyDescent="0.25">
      <c r="A1" s="188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x14ac:dyDescent="0.25">
      <c r="A2" s="50"/>
    </row>
    <row r="3" spans="1:14" ht="15" customHeight="1" x14ac:dyDescent="0.25">
      <c r="A3" s="212" t="s">
        <v>38</v>
      </c>
      <c r="B3" s="213" t="s">
        <v>86</v>
      </c>
      <c r="C3" s="213" t="s">
        <v>87</v>
      </c>
      <c r="D3" s="212" t="s">
        <v>88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5.75" customHeight="1" x14ac:dyDescent="0.25">
      <c r="A4" s="212"/>
      <c r="B4" s="213"/>
      <c r="C4" s="213"/>
      <c r="D4" s="212" t="s">
        <v>89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5.75" customHeight="1" x14ac:dyDescent="0.25">
      <c r="A5" s="212"/>
      <c r="B5" s="213"/>
      <c r="C5" s="213"/>
      <c r="D5" s="212" t="s">
        <v>90</v>
      </c>
      <c r="E5" s="212"/>
      <c r="F5" s="212"/>
      <c r="G5" s="212"/>
      <c r="H5" s="212" t="s">
        <v>39</v>
      </c>
      <c r="I5" s="212"/>
      <c r="J5" s="212"/>
      <c r="K5" s="212"/>
      <c r="L5" s="212"/>
      <c r="M5" s="212"/>
      <c r="N5" s="212"/>
    </row>
    <row r="6" spans="1:14" ht="37.5" customHeight="1" x14ac:dyDescent="0.25">
      <c r="A6" s="212"/>
      <c r="B6" s="213"/>
      <c r="C6" s="213"/>
      <c r="D6" s="212"/>
      <c r="E6" s="212"/>
      <c r="F6" s="212"/>
      <c r="G6" s="212"/>
      <c r="H6" s="212" t="s">
        <v>91</v>
      </c>
      <c r="I6" s="212"/>
      <c r="J6" s="212"/>
      <c r="K6" s="212"/>
      <c r="L6" s="212" t="s">
        <v>93</v>
      </c>
      <c r="M6" s="212"/>
      <c r="N6" s="212"/>
    </row>
    <row r="7" spans="1:14" ht="63.75" customHeight="1" x14ac:dyDescent="0.25">
      <c r="A7" s="212"/>
      <c r="B7" s="213"/>
      <c r="C7" s="213"/>
      <c r="D7" s="212"/>
      <c r="E7" s="212"/>
      <c r="F7" s="212"/>
      <c r="G7" s="212"/>
      <c r="H7" s="212" t="s">
        <v>92</v>
      </c>
      <c r="I7" s="212"/>
      <c r="J7" s="212"/>
      <c r="K7" s="212"/>
      <c r="L7" s="212"/>
      <c r="M7" s="212"/>
      <c r="N7" s="212"/>
    </row>
    <row r="8" spans="1:14" ht="19.5" customHeight="1" x14ac:dyDescent="0.25">
      <c r="A8" s="212"/>
      <c r="B8" s="213"/>
      <c r="C8" s="213"/>
      <c r="D8" s="214" t="s">
        <v>146</v>
      </c>
      <c r="E8" s="214" t="s">
        <v>224</v>
      </c>
      <c r="F8" s="214" t="s">
        <v>225</v>
      </c>
      <c r="G8" s="81" t="s">
        <v>94</v>
      </c>
      <c r="H8" s="214" t="s">
        <v>146</v>
      </c>
      <c r="I8" s="214" t="s">
        <v>224</v>
      </c>
      <c r="J8" s="214" t="s">
        <v>225</v>
      </c>
      <c r="K8" s="214" t="s">
        <v>147</v>
      </c>
      <c r="L8" s="214"/>
      <c r="M8" s="214" t="s">
        <v>226</v>
      </c>
      <c r="N8" s="214" t="s">
        <v>227</v>
      </c>
    </row>
    <row r="9" spans="1:14" ht="39.75" x14ac:dyDescent="0.25">
      <c r="A9" s="212"/>
      <c r="B9" s="213"/>
      <c r="C9" s="213"/>
      <c r="D9" s="214"/>
      <c r="E9" s="214"/>
      <c r="F9" s="214"/>
      <c r="G9" s="81" t="s">
        <v>95</v>
      </c>
      <c r="H9" s="214"/>
      <c r="I9" s="214"/>
      <c r="J9" s="214"/>
      <c r="K9" s="214"/>
      <c r="L9" s="214"/>
      <c r="M9" s="214"/>
      <c r="N9" s="214"/>
    </row>
    <row r="10" spans="1:14" ht="31.5" customHeight="1" x14ac:dyDescent="0.25">
      <c r="A10" s="212"/>
      <c r="B10" s="213"/>
      <c r="C10" s="213"/>
      <c r="D10" s="214"/>
      <c r="E10" s="214"/>
      <c r="F10" s="214"/>
      <c r="G10" s="81" t="s">
        <v>96</v>
      </c>
      <c r="H10" s="214"/>
      <c r="I10" s="214"/>
      <c r="J10" s="214"/>
      <c r="K10" s="214"/>
      <c r="L10" s="214"/>
      <c r="M10" s="214"/>
      <c r="N10" s="214"/>
    </row>
    <row r="11" spans="1:14" ht="15.75" x14ac:dyDescent="0.25">
      <c r="A11" s="82">
        <v>1</v>
      </c>
      <c r="B11" s="82">
        <v>2</v>
      </c>
      <c r="C11" s="82">
        <v>3</v>
      </c>
      <c r="D11" s="83">
        <v>4</v>
      </c>
      <c r="E11" s="83">
        <v>5</v>
      </c>
      <c r="F11" s="83">
        <v>6</v>
      </c>
      <c r="G11" s="216">
        <v>7</v>
      </c>
      <c r="H11" s="216"/>
      <c r="I11" s="83">
        <v>8</v>
      </c>
      <c r="J11" s="83">
        <v>9</v>
      </c>
      <c r="K11" s="216">
        <v>10</v>
      </c>
      <c r="L11" s="216"/>
      <c r="M11" s="83">
        <v>11</v>
      </c>
      <c r="N11" s="83">
        <v>12</v>
      </c>
    </row>
    <row r="12" spans="1:14" ht="54.75" customHeight="1" x14ac:dyDescent="0.25">
      <c r="A12" s="84" t="s">
        <v>97</v>
      </c>
      <c r="B12" s="102">
        <v>1</v>
      </c>
      <c r="C12" s="102" t="s">
        <v>41</v>
      </c>
      <c r="D12" s="103">
        <f>K12</f>
        <v>7551929.25</v>
      </c>
      <c r="E12" s="103">
        <f>M12</f>
        <v>11527006</v>
      </c>
      <c r="F12" s="103">
        <f>N12</f>
        <v>12025006</v>
      </c>
      <c r="G12" s="215">
        <f>G13+H19</f>
        <v>0</v>
      </c>
      <c r="H12" s="215"/>
      <c r="I12" s="103">
        <f>I13+I19</f>
        <v>0</v>
      </c>
      <c r="J12" s="103">
        <f>J13+J19</f>
        <v>0</v>
      </c>
      <c r="K12" s="215">
        <f>K13+L19</f>
        <v>7551929.25</v>
      </c>
      <c r="L12" s="215"/>
      <c r="M12" s="103">
        <f>M13+M19</f>
        <v>11527006</v>
      </c>
      <c r="N12" s="103">
        <f>N13+N19</f>
        <v>12025006</v>
      </c>
    </row>
    <row r="13" spans="1:14" ht="59.25" customHeight="1" x14ac:dyDescent="0.25">
      <c r="A13" s="85" t="s">
        <v>98</v>
      </c>
      <c r="B13" s="86">
        <v>1001</v>
      </c>
      <c r="C13" s="86"/>
      <c r="D13" s="104">
        <f>K13</f>
        <v>1444204.46</v>
      </c>
      <c r="E13" s="104">
        <f>M13</f>
        <v>1382395</v>
      </c>
      <c r="F13" s="104">
        <f>N13</f>
        <v>1382395</v>
      </c>
      <c r="G13" s="217">
        <f>H15</f>
        <v>0</v>
      </c>
      <c r="H13" s="217"/>
      <c r="I13" s="104">
        <f>I15</f>
        <v>0</v>
      </c>
      <c r="J13" s="104">
        <f>J15</f>
        <v>0</v>
      </c>
      <c r="K13" s="217">
        <f>L15</f>
        <v>1444204.46</v>
      </c>
      <c r="L13" s="217"/>
      <c r="M13" s="104">
        <f>M15</f>
        <v>1382395</v>
      </c>
      <c r="N13" s="104">
        <f>N15</f>
        <v>1382395</v>
      </c>
    </row>
    <row r="14" spans="1:14" ht="15.75" x14ac:dyDescent="0.25">
      <c r="A14" s="85" t="s">
        <v>99</v>
      </c>
      <c r="B14" s="86" t="s">
        <v>41</v>
      </c>
      <c r="C14" s="86" t="s">
        <v>148</v>
      </c>
      <c r="D14" s="104" t="s">
        <v>148</v>
      </c>
      <c r="E14" s="104" t="s">
        <v>148</v>
      </c>
      <c r="F14" s="104" t="s">
        <v>148</v>
      </c>
      <c r="G14" s="217" t="s">
        <v>148</v>
      </c>
      <c r="H14" s="217"/>
      <c r="I14" s="104" t="s">
        <v>148</v>
      </c>
      <c r="J14" s="104" t="s">
        <v>148</v>
      </c>
      <c r="K14" s="217" t="s">
        <v>148</v>
      </c>
      <c r="L14" s="217"/>
      <c r="M14" s="104" t="s">
        <v>148</v>
      </c>
      <c r="N14" s="104" t="s">
        <v>148</v>
      </c>
    </row>
    <row r="15" spans="1:14" ht="15.75" x14ac:dyDescent="0.25">
      <c r="A15" s="87">
        <v>223</v>
      </c>
      <c r="B15" s="87"/>
      <c r="C15" s="87" t="s">
        <v>41</v>
      </c>
      <c r="D15" s="105">
        <f>L15</f>
        <v>1444204.46</v>
      </c>
      <c r="E15" s="105">
        <f>M15</f>
        <v>1382395</v>
      </c>
      <c r="F15" s="105">
        <f>N15</f>
        <v>1382395</v>
      </c>
      <c r="G15" s="105">
        <f t="shared" ref="G15" si="0">SUM(G16:G18)</f>
        <v>0</v>
      </c>
      <c r="H15" s="105">
        <f>SUM(G16:H18)</f>
        <v>0</v>
      </c>
      <c r="I15" s="105">
        <f t="shared" ref="I15:N15" si="1">SUM(I16:I18)</f>
        <v>0</v>
      </c>
      <c r="J15" s="105">
        <f t="shared" si="1"/>
        <v>0</v>
      </c>
      <c r="K15" s="105">
        <f t="shared" si="1"/>
        <v>1444204.46</v>
      </c>
      <c r="L15" s="105">
        <f>SUM(K16:L18)</f>
        <v>1444204.46</v>
      </c>
      <c r="M15" s="105">
        <f>SUM(M16:M18)</f>
        <v>1382395</v>
      </c>
      <c r="N15" s="105">
        <f t="shared" si="1"/>
        <v>1382395</v>
      </c>
    </row>
    <row r="16" spans="1:14" ht="31.5" x14ac:dyDescent="0.25">
      <c r="A16" s="84" t="s">
        <v>230</v>
      </c>
      <c r="B16" s="102">
        <v>1002</v>
      </c>
      <c r="C16" s="102"/>
      <c r="D16" s="103">
        <f>K16</f>
        <v>46000</v>
      </c>
      <c r="E16" s="103">
        <f>M16</f>
        <v>46000</v>
      </c>
      <c r="F16" s="103">
        <f>N16</f>
        <v>46000</v>
      </c>
      <c r="G16" s="215">
        <v>0</v>
      </c>
      <c r="H16" s="215"/>
      <c r="I16" s="103"/>
      <c r="J16" s="103"/>
      <c r="K16" s="215">
        <v>46000</v>
      </c>
      <c r="L16" s="215"/>
      <c r="M16" s="103">
        <v>46000</v>
      </c>
      <c r="N16" s="103">
        <v>46000</v>
      </c>
    </row>
    <row r="17" spans="1:14" ht="34.5" customHeight="1" x14ac:dyDescent="0.25">
      <c r="A17" s="84" t="s">
        <v>231</v>
      </c>
      <c r="B17" s="102">
        <v>1003</v>
      </c>
      <c r="C17" s="102"/>
      <c r="D17" s="103">
        <f>K17</f>
        <v>864379.46</v>
      </c>
      <c r="E17" s="103">
        <f t="shared" ref="E17:F18" si="2">M17</f>
        <v>803070</v>
      </c>
      <c r="F17" s="103">
        <f t="shared" si="2"/>
        <v>803070</v>
      </c>
      <c r="G17" s="215">
        <v>0</v>
      </c>
      <c r="H17" s="215"/>
      <c r="I17" s="103"/>
      <c r="J17" s="103"/>
      <c r="K17" s="215">
        <f>828070+36309.46</f>
        <v>864379.46</v>
      </c>
      <c r="L17" s="215"/>
      <c r="M17" s="103">
        <v>803070</v>
      </c>
      <c r="N17" s="103">
        <v>803070</v>
      </c>
    </row>
    <row r="18" spans="1:14" ht="15.75" x14ac:dyDescent="0.25">
      <c r="A18" s="84" t="s">
        <v>232</v>
      </c>
      <c r="B18" s="102">
        <v>1004</v>
      </c>
      <c r="C18" s="102"/>
      <c r="D18" s="103">
        <f>K18</f>
        <v>533825</v>
      </c>
      <c r="E18" s="103">
        <f t="shared" si="2"/>
        <v>533325</v>
      </c>
      <c r="F18" s="103">
        <f t="shared" si="2"/>
        <v>533325</v>
      </c>
      <c r="G18" s="215">
        <v>0</v>
      </c>
      <c r="H18" s="215"/>
      <c r="I18" s="103"/>
      <c r="J18" s="103"/>
      <c r="K18" s="215">
        <f>533325+500</f>
        <v>533825</v>
      </c>
      <c r="L18" s="215"/>
      <c r="M18" s="103">
        <v>533325</v>
      </c>
      <c r="N18" s="103">
        <v>533325</v>
      </c>
    </row>
    <row r="19" spans="1:14" ht="35.25" customHeight="1" x14ac:dyDescent="0.25">
      <c r="A19" s="85" t="s">
        <v>100</v>
      </c>
      <c r="B19" s="86">
        <v>2001</v>
      </c>
      <c r="C19" s="86"/>
      <c r="D19" s="104">
        <f>L19</f>
        <v>6107724.79</v>
      </c>
      <c r="E19" s="104">
        <f>M19</f>
        <v>10144611</v>
      </c>
      <c r="F19" s="104">
        <f>N19</f>
        <v>10642611</v>
      </c>
      <c r="G19" s="104">
        <f>G23+G27+G61+G94+G96</f>
        <v>0</v>
      </c>
      <c r="H19" s="104">
        <f>H23+H27+H61+H94+H96</f>
        <v>0</v>
      </c>
      <c r="I19" s="104">
        <f>I23+I27+I61+I94+I96</f>
        <v>0</v>
      </c>
      <c r="J19" s="104">
        <f>J23+J27+J61+J94+J96</f>
        <v>0</v>
      </c>
      <c r="K19" s="104">
        <f>K23+L27+L61+L94+L96</f>
        <v>5662459.79</v>
      </c>
      <c r="L19" s="104">
        <f>K21+K23+L27+L56+L61+L94+L96</f>
        <v>6107724.79</v>
      </c>
      <c r="M19" s="104">
        <f>M21+M23+M27+M56+M61+M94+M96</f>
        <v>10144611</v>
      </c>
      <c r="N19" s="104">
        <f>M21+M23+N27+N56+N61+N94+N96</f>
        <v>10642611</v>
      </c>
    </row>
    <row r="20" spans="1:14" ht="15.75" x14ac:dyDescent="0.25">
      <c r="A20" s="85" t="s">
        <v>99</v>
      </c>
      <c r="B20" s="86" t="s">
        <v>41</v>
      </c>
      <c r="C20" s="86" t="s">
        <v>148</v>
      </c>
      <c r="D20" s="104" t="s">
        <v>148</v>
      </c>
      <c r="E20" s="104" t="s">
        <v>148</v>
      </c>
      <c r="F20" s="104" t="s">
        <v>148</v>
      </c>
      <c r="G20" s="217" t="s">
        <v>148</v>
      </c>
      <c r="H20" s="217"/>
      <c r="I20" s="104" t="s">
        <v>148</v>
      </c>
      <c r="J20" s="104" t="s">
        <v>148</v>
      </c>
      <c r="K20" s="217" t="s">
        <v>148</v>
      </c>
      <c r="L20" s="217"/>
      <c r="M20" s="104" t="s">
        <v>148</v>
      </c>
      <c r="N20" s="104" t="s">
        <v>148</v>
      </c>
    </row>
    <row r="21" spans="1:14" ht="15.75" x14ac:dyDescent="0.25">
      <c r="A21" s="87">
        <v>222</v>
      </c>
      <c r="B21" s="87"/>
      <c r="C21" s="87"/>
      <c r="D21" s="105">
        <f>K21</f>
        <v>159000</v>
      </c>
      <c r="E21" s="105">
        <f>E22</f>
        <v>159000</v>
      </c>
      <c r="F21" s="105">
        <f>N21</f>
        <v>159000</v>
      </c>
      <c r="G21" s="105"/>
      <c r="H21" s="105">
        <f>SUM(G22:H24)</f>
        <v>0</v>
      </c>
      <c r="I21" s="105">
        <f t="shared" ref="I21:J21" si="3">SUM(H22:I24)</f>
        <v>0</v>
      </c>
      <c r="J21" s="105">
        <f t="shared" si="3"/>
        <v>0</v>
      </c>
      <c r="K21" s="218">
        <f>K22</f>
        <v>159000</v>
      </c>
      <c r="L21" s="218"/>
      <c r="M21" s="105">
        <f>M22</f>
        <v>159000</v>
      </c>
      <c r="N21" s="105">
        <f>N22</f>
        <v>159000</v>
      </c>
    </row>
    <row r="22" spans="1:14" ht="21.75" customHeight="1" x14ac:dyDescent="0.25">
      <c r="A22" s="88" t="s">
        <v>47</v>
      </c>
      <c r="B22" s="102">
        <v>2002</v>
      </c>
      <c r="C22" s="102">
        <v>2017</v>
      </c>
      <c r="D22" s="103">
        <f>K22</f>
        <v>159000</v>
      </c>
      <c r="E22" s="103">
        <f>M22</f>
        <v>159000</v>
      </c>
      <c r="F22" s="103">
        <f>N22</f>
        <v>159000</v>
      </c>
      <c r="G22" s="215"/>
      <c r="H22" s="215"/>
      <c r="I22" s="103"/>
      <c r="J22" s="103"/>
      <c r="K22" s="215">
        <v>159000</v>
      </c>
      <c r="L22" s="215"/>
      <c r="M22" s="103">
        <v>159000</v>
      </c>
      <c r="N22" s="103">
        <v>159000</v>
      </c>
    </row>
    <row r="23" spans="1:14" ht="15.75" x14ac:dyDescent="0.25">
      <c r="A23" s="87">
        <v>221</v>
      </c>
      <c r="B23" s="87"/>
      <c r="C23" s="87"/>
      <c r="D23" s="105">
        <f>K23</f>
        <v>313349.79000000004</v>
      </c>
      <c r="E23" s="105">
        <f>SUM(E24:E26)</f>
        <v>312000</v>
      </c>
      <c r="F23" s="105">
        <f>SUM(F24:F26)</f>
        <v>312000</v>
      </c>
      <c r="G23" s="105"/>
      <c r="H23" s="105">
        <f>SUM(G24:H26)</f>
        <v>0</v>
      </c>
      <c r="I23" s="105">
        <f t="shared" ref="I23:J23" si="4">SUM(H24:I26)</f>
        <v>0</v>
      </c>
      <c r="J23" s="105">
        <f t="shared" si="4"/>
        <v>0</v>
      </c>
      <c r="K23" s="218">
        <f>SUM(K24:L26)</f>
        <v>313349.79000000004</v>
      </c>
      <c r="L23" s="218"/>
      <c r="M23" s="105">
        <f>SUM(M24:M26)</f>
        <v>312000</v>
      </c>
      <c r="N23" s="105">
        <f>SUM(N24:N26)</f>
        <v>312000</v>
      </c>
    </row>
    <row r="24" spans="1:14" ht="31.5" x14ac:dyDescent="0.25">
      <c r="A24" s="88" t="s">
        <v>149</v>
      </c>
      <c r="B24" s="102">
        <v>2003</v>
      </c>
      <c r="C24" s="102">
        <v>2017</v>
      </c>
      <c r="D24" s="103">
        <f>K24</f>
        <v>133349.79</v>
      </c>
      <c r="E24" s="103">
        <f>M24</f>
        <v>132000</v>
      </c>
      <c r="F24" s="103">
        <f>N24</f>
        <v>132000</v>
      </c>
      <c r="G24" s="215"/>
      <c r="H24" s="215"/>
      <c r="I24" s="103"/>
      <c r="J24" s="103"/>
      <c r="K24" s="215">
        <f>132000+1349.79</f>
        <v>133349.79</v>
      </c>
      <c r="L24" s="215"/>
      <c r="M24" s="103">
        <v>132000</v>
      </c>
      <c r="N24" s="103">
        <v>132000</v>
      </c>
    </row>
    <row r="25" spans="1:14" ht="31.5" x14ac:dyDescent="0.25">
      <c r="A25" s="88" t="s">
        <v>150</v>
      </c>
      <c r="B25" s="102">
        <v>2004</v>
      </c>
      <c r="C25" s="102">
        <v>2017</v>
      </c>
      <c r="D25" s="103">
        <f t="shared" ref="D25:D64" si="5">L25</f>
        <v>178000</v>
      </c>
      <c r="E25" s="106">
        <f t="shared" ref="E25:E26" si="6">M25</f>
        <v>178000</v>
      </c>
      <c r="F25" s="106">
        <f t="shared" ref="F25:F26" si="7">N25</f>
        <v>178000</v>
      </c>
      <c r="G25" s="103"/>
      <c r="H25" s="103"/>
      <c r="I25" s="103"/>
      <c r="J25" s="103"/>
      <c r="K25" s="103"/>
      <c r="L25" s="103">
        <v>178000</v>
      </c>
      <c r="M25" s="103">
        <v>178000</v>
      </c>
      <c r="N25" s="103">
        <v>178000</v>
      </c>
    </row>
    <row r="26" spans="1:14" ht="51" customHeight="1" x14ac:dyDescent="0.25">
      <c r="A26" s="88" t="s">
        <v>151</v>
      </c>
      <c r="B26" s="102">
        <v>2005</v>
      </c>
      <c r="C26" s="102">
        <v>2017</v>
      </c>
      <c r="D26" s="103">
        <f t="shared" si="5"/>
        <v>2000</v>
      </c>
      <c r="E26" s="106">
        <f t="shared" si="6"/>
        <v>2000</v>
      </c>
      <c r="F26" s="106">
        <f t="shared" si="7"/>
        <v>2000</v>
      </c>
      <c r="G26" s="103"/>
      <c r="H26" s="103"/>
      <c r="I26" s="103"/>
      <c r="J26" s="103"/>
      <c r="K26" s="103"/>
      <c r="L26" s="103">
        <v>2000</v>
      </c>
      <c r="M26" s="103">
        <v>2000</v>
      </c>
      <c r="N26" s="103">
        <v>2000</v>
      </c>
    </row>
    <row r="27" spans="1:14" ht="15.75" x14ac:dyDescent="0.25">
      <c r="A27" s="89">
        <v>225</v>
      </c>
      <c r="B27" s="89"/>
      <c r="C27" s="89"/>
      <c r="D27" s="90">
        <f t="shared" si="5"/>
        <v>933771.07000000007</v>
      </c>
      <c r="E27" s="90">
        <f t="shared" ref="E27:N27" si="8">SUM(E28:E55)</f>
        <v>1118470</v>
      </c>
      <c r="F27" s="90">
        <f t="shared" si="8"/>
        <v>919470</v>
      </c>
      <c r="G27" s="90">
        <f t="shared" si="8"/>
        <v>0</v>
      </c>
      <c r="H27" s="90">
        <f t="shared" si="8"/>
        <v>0</v>
      </c>
      <c r="I27" s="90">
        <f t="shared" si="8"/>
        <v>0</v>
      </c>
      <c r="J27" s="90">
        <f t="shared" si="8"/>
        <v>0</v>
      </c>
      <c r="K27" s="90">
        <f t="shared" si="8"/>
        <v>0</v>
      </c>
      <c r="L27" s="90">
        <f t="shared" si="8"/>
        <v>933771.07000000007</v>
      </c>
      <c r="M27" s="90">
        <f t="shared" si="8"/>
        <v>1118470</v>
      </c>
      <c r="N27" s="90">
        <f t="shared" si="8"/>
        <v>919470</v>
      </c>
    </row>
    <row r="28" spans="1:14" ht="15.75" x14ac:dyDescent="0.25">
      <c r="A28" s="88" t="s">
        <v>152</v>
      </c>
      <c r="B28" s="102">
        <v>2006</v>
      </c>
      <c r="C28" s="102">
        <v>2017</v>
      </c>
      <c r="D28" s="103">
        <f>L28</f>
        <v>4000</v>
      </c>
      <c r="E28" s="103">
        <f>M28</f>
        <v>4000</v>
      </c>
      <c r="F28" s="103">
        <f>N28</f>
        <v>4000</v>
      </c>
      <c r="G28" s="103"/>
      <c r="H28" s="103"/>
      <c r="I28" s="103"/>
      <c r="J28" s="103"/>
      <c r="K28" s="103"/>
      <c r="L28" s="103">
        <v>4000</v>
      </c>
      <c r="M28" s="103">
        <v>4000</v>
      </c>
      <c r="N28" s="103">
        <v>4000</v>
      </c>
    </row>
    <row r="29" spans="1:14" ht="15.75" x14ac:dyDescent="0.25">
      <c r="A29" s="88" t="s">
        <v>153</v>
      </c>
      <c r="B29" s="102">
        <v>2007</v>
      </c>
      <c r="C29" s="102">
        <v>2017</v>
      </c>
      <c r="D29" s="103">
        <f t="shared" si="5"/>
        <v>4000</v>
      </c>
      <c r="E29" s="106">
        <f t="shared" ref="E29:E55" si="9">M29</f>
        <v>4000</v>
      </c>
      <c r="F29" s="106">
        <f t="shared" ref="F29:F55" si="10">N29</f>
        <v>4000</v>
      </c>
      <c r="G29" s="103"/>
      <c r="H29" s="103"/>
      <c r="I29" s="103"/>
      <c r="J29" s="103"/>
      <c r="K29" s="103"/>
      <c r="L29" s="103">
        <v>4000</v>
      </c>
      <c r="M29" s="103">
        <v>4000</v>
      </c>
      <c r="N29" s="103">
        <v>4000</v>
      </c>
    </row>
    <row r="30" spans="1:14" ht="15.75" x14ac:dyDescent="0.25">
      <c r="A30" s="88" t="s">
        <v>154</v>
      </c>
      <c r="B30" s="102">
        <v>2008</v>
      </c>
      <c r="C30" s="102">
        <v>2017</v>
      </c>
      <c r="D30" s="103">
        <f>L30</f>
        <v>16000</v>
      </c>
      <c r="E30" s="106">
        <f t="shared" si="9"/>
        <v>21670</v>
      </c>
      <c r="F30" s="106">
        <f t="shared" si="10"/>
        <v>21670</v>
      </c>
      <c r="G30" s="103"/>
      <c r="H30" s="103"/>
      <c r="I30" s="103"/>
      <c r="J30" s="103"/>
      <c r="K30" s="103"/>
      <c r="L30" s="103">
        <f>16000</f>
        <v>16000</v>
      </c>
      <c r="M30" s="103">
        <f t="shared" ref="M30:N30" si="11">16000+5670</f>
        <v>21670</v>
      </c>
      <c r="N30" s="103">
        <f t="shared" si="11"/>
        <v>21670</v>
      </c>
    </row>
    <row r="31" spans="1:14" ht="15.75" x14ac:dyDescent="0.25">
      <c r="A31" s="88" t="s">
        <v>155</v>
      </c>
      <c r="B31" s="102">
        <v>2009</v>
      </c>
      <c r="C31" s="102">
        <v>2017</v>
      </c>
      <c r="D31" s="103">
        <f t="shared" si="5"/>
        <v>5000</v>
      </c>
      <c r="E31" s="106">
        <f t="shared" si="9"/>
        <v>5000</v>
      </c>
      <c r="F31" s="106">
        <f t="shared" si="10"/>
        <v>5400</v>
      </c>
      <c r="G31" s="103"/>
      <c r="H31" s="103"/>
      <c r="I31" s="103"/>
      <c r="J31" s="103"/>
      <c r="K31" s="103"/>
      <c r="L31" s="103">
        <v>5000</v>
      </c>
      <c r="M31" s="103">
        <v>5000</v>
      </c>
      <c r="N31" s="103">
        <v>5400</v>
      </c>
    </row>
    <row r="32" spans="1:14" ht="15.75" x14ac:dyDescent="0.25">
      <c r="A32" s="88" t="s">
        <v>156</v>
      </c>
      <c r="B32" s="102">
        <v>2010</v>
      </c>
      <c r="C32" s="102">
        <v>2017</v>
      </c>
      <c r="D32" s="103">
        <f t="shared" si="5"/>
        <v>6000</v>
      </c>
      <c r="E32" s="106">
        <f t="shared" si="9"/>
        <v>6000</v>
      </c>
      <c r="F32" s="106">
        <f t="shared" si="10"/>
        <v>6000</v>
      </c>
      <c r="G32" s="103"/>
      <c r="H32" s="103"/>
      <c r="I32" s="103"/>
      <c r="J32" s="103"/>
      <c r="K32" s="103"/>
      <c r="L32" s="103">
        <v>6000</v>
      </c>
      <c r="M32" s="103">
        <v>6000</v>
      </c>
      <c r="N32" s="103">
        <v>6000</v>
      </c>
    </row>
    <row r="33" spans="1:14" ht="15.75" x14ac:dyDescent="0.25">
      <c r="A33" s="88" t="s">
        <v>157</v>
      </c>
      <c r="B33" s="102">
        <v>2011</v>
      </c>
      <c r="C33" s="102">
        <v>2017</v>
      </c>
      <c r="D33" s="103">
        <f t="shared" si="5"/>
        <v>50400</v>
      </c>
      <c r="E33" s="106">
        <f t="shared" si="9"/>
        <v>50000</v>
      </c>
      <c r="F33" s="106">
        <f t="shared" si="10"/>
        <v>50000</v>
      </c>
      <c r="G33" s="103"/>
      <c r="H33" s="103"/>
      <c r="I33" s="103"/>
      <c r="J33" s="103"/>
      <c r="K33" s="103"/>
      <c r="L33" s="103">
        <f>50000+400</f>
        <v>50400</v>
      </c>
      <c r="M33" s="103">
        <v>50000</v>
      </c>
      <c r="N33" s="103">
        <v>50000</v>
      </c>
    </row>
    <row r="34" spans="1:14" ht="31.5" x14ac:dyDescent="0.25">
      <c r="A34" s="88" t="s">
        <v>158</v>
      </c>
      <c r="B34" s="102">
        <v>2012</v>
      </c>
      <c r="C34" s="102">
        <v>2017</v>
      </c>
      <c r="D34" s="103">
        <f t="shared" si="5"/>
        <v>25000</v>
      </c>
      <c r="E34" s="106">
        <f t="shared" si="9"/>
        <v>25000</v>
      </c>
      <c r="F34" s="106">
        <f t="shared" si="10"/>
        <v>25000</v>
      </c>
      <c r="G34" s="103"/>
      <c r="H34" s="103"/>
      <c r="I34" s="103"/>
      <c r="J34" s="103"/>
      <c r="K34" s="103"/>
      <c r="L34" s="103">
        <v>25000</v>
      </c>
      <c r="M34" s="103">
        <v>25000</v>
      </c>
      <c r="N34" s="103">
        <v>25000</v>
      </c>
    </row>
    <row r="35" spans="1:14" ht="31.5" x14ac:dyDescent="0.25">
      <c r="A35" s="88" t="s">
        <v>159</v>
      </c>
      <c r="B35" s="102">
        <v>2013</v>
      </c>
      <c r="C35" s="102">
        <v>2017</v>
      </c>
      <c r="D35" s="103">
        <f t="shared" si="5"/>
        <v>0</v>
      </c>
      <c r="E35" s="106">
        <f t="shared" si="9"/>
        <v>17000</v>
      </c>
      <c r="F35" s="106">
        <f t="shared" si="10"/>
        <v>0</v>
      </c>
      <c r="G35" s="103"/>
      <c r="H35" s="103"/>
      <c r="I35" s="103"/>
      <c r="J35" s="103"/>
      <c r="K35" s="103"/>
      <c r="L35" s="103">
        <v>0</v>
      </c>
      <c r="M35" s="103">
        <v>17000</v>
      </c>
      <c r="N35" s="103">
        <v>0</v>
      </c>
    </row>
    <row r="36" spans="1:14" ht="31.5" x14ac:dyDescent="0.25">
      <c r="A36" s="88" t="s">
        <v>160</v>
      </c>
      <c r="B36" s="102">
        <v>2014</v>
      </c>
      <c r="C36" s="102">
        <v>2017</v>
      </c>
      <c r="D36" s="103">
        <f t="shared" si="5"/>
        <v>7000</v>
      </c>
      <c r="E36" s="106">
        <f t="shared" si="9"/>
        <v>0</v>
      </c>
      <c r="F36" s="106">
        <f t="shared" si="10"/>
        <v>0</v>
      </c>
      <c r="G36" s="103"/>
      <c r="H36" s="103"/>
      <c r="I36" s="103"/>
      <c r="J36" s="103"/>
      <c r="K36" s="103"/>
      <c r="L36" s="103">
        <v>7000</v>
      </c>
      <c r="M36" s="103">
        <v>0</v>
      </c>
      <c r="N36" s="103">
        <v>0</v>
      </c>
    </row>
    <row r="37" spans="1:14" ht="31.5" x14ac:dyDescent="0.25">
      <c r="A37" s="88" t="s">
        <v>161</v>
      </c>
      <c r="B37" s="102">
        <v>2015</v>
      </c>
      <c r="C37" s="102">
        <v>2017</v>
      </c>
      <c r="D37" s="103">
        <f t="shared" si="5"/>
        <v>48000</v>
      </c>
      <c r="E37" s="106">
        <f t="shared" si="9"/>
        <v>49000</v>
      </c>
      <c r="F37" s="106">
        <f t="shared" si="10"/>
        <v>49000</v>
      </c>
      <c r="G37" s="103"/>
      <c r="H37" s="103"/>
      <c r="I37" s="103"/>
      <c r="J37" s="103"/>
      <c r="K37" s="103"/>
      <c r="L37" s="103">
        <v>48000</v>
      </c>
      <c r="M37" s="103">
        <v>49000</v>
      </c>
      <c r="N37" s="103">
        <v>49000</v>
      </c>
    </row>
    <row r="38" spans="1:14" ht="31.5" x14ac:dyDescent="0.25">
      <c r="A38" s="88" t="s">
        <v>162</v>
      </c>
      <c r="B38" s="102">
        <v>2016</v>
      </c>
      <c r="C38" s="102">
        <v>2017</v>
      </c>
      <c r="D38" s="103">
        <f t="shared" si="5"/>
        <v>16100</v>
      </c>
      <c r="E38" s="106">
        <f t="shared" si="9"/>
        <v>18000</v>
      </c>
      <c r="F38" s="106">
        <f t="shared" si="10"/>
        <v>18000</v>
      </c>
      <c r="G38" s="103"/>
      <c r="H38" s="103"/>
      <c r="I38" s="103"/>
      <c r="J38" s="103"/>
      <c r="K38" s="103"/>
      <c r="L38" s="103">
        <v>16100</v>
      </c>
      <c r="M38" s="103">
        <v>18000</v>
      </c>
      <c r="N38" s="103">
        <v>18000</v>
      </c>
    </row>
    <row r="39" spans="1:14" ht="63" x14ac:dyDescent="0.25">
      <c r="A39" s="88" t="s">
        <v>163</v>
      </c>
      <c r="B39" s="102">
        <v>2017</v>
      </c>
      <c r="C39" s="102">
        <v>2017</v>
      </c>
      <c r="D39" s="103">
        <f t="shared" si="5"/>
        <v>55800</v>
      </c>
      <c r="E39" s="106">
        <f t="shared" si="9"/>
        <v>55800</v>
      </c>
      <c r="F39" s="106">
        <f t="shared" si="10"/>
        <v>57800</v>
      </c>
      <c r="G39" s="103"/>
      <c r="H39" s="103"/>
      <c r="I39" s="103"/>
      <c r="J39" s="103"/>
      <c r="K39" s="103"/>
      <c r="L39" s="103">
        <v>55800</v>
      </c>
      <c r="M39" s="103">
        <v>55800</v>
      </c>
      <c r="N39" s="103">
        <v>57800</v>
      </c>
    </row>
    <row r="40" spans="1:14" ht="31.5" x14ac:dyDescent="0.25">
      <c r="A40" s="91" t="s">
        <v>164</v>
      </c>
      <c r="B40" s="102">
        <v>2018</v>
      </c>
      <c r="C40" s="102">
        <v>2017</v>
      </c>
      <c r="D40" s="103">
        <f t="shared" si="5"/>
        <v>2000</v>
      </c>
      <c r="E40" s="106">
        <f t="shared" si="9"/>
        <v>2000</v>
      </c>
      <c r="F40" s="106">
        <f t="shared" si="10"/>
        <v>2000</v>
      </c>
      <c r="G40" s="103"/>
      <c r="H40" s="103"/>
      <c r="I40" s="103"/>
      <c r="J40" s="103"/>
      <c r="K40" s="103"/>
      <c r="L40" s="103">
        <v>2000</v>
      </c>
      <c r="M40" s="103">
        <v>2000</v>
      </c>
      <c r="N40" s="103">
        <v>2000</v>
      </c>
    </row>
    <row r="41" spans="1:14" ht="31.5" x14ac:dyDescent="0.25">
      <c r="A41" s="91" t="s">
        <v>165</v>
      </c>
      <c r="B41" s="102">
        <v>2019</v>
      </c>
      <c r="C41" s="102">
        <v>2017</v>
      </c>
      <c r="D41" s="103">
        <f t="shared" si="5"/>
        <v>8000</v>
      </c>
      <c r="E41" s="106">
        <f t="shared" si="9"/>
        <v>8000</v>
      </c>
      <c r="F41" s="106">
        <f t="shared" si="10"/>
        <v>8000</v>
      </c>
      <c r="G41" s="103"/>
      <c r="H41" s="103"/>
      <c r="I41" s="103"/>
      <c r="J41" s="103"/>
      <c r="K41" s="103"/>
      <c r="L41" s="103">
        <v>8000</v>
      </c>
      <c r="M41" s="103">
        <v>8000</v>
      </c>
      <c r="N41" s="103">
        <v>8000</v>
      </c>
    </row>
    <row r="42" spans="1:14" ht="15.75" x14ac:dyDescent="0.25">
      <c r="A42" s="91" t="s">
        <v>166</v>
      </c>
      <c r="B42" s="102">
        <v>2020</v>
      </c>
      <c r="C42" s="102">
        <v>2017</v>
      </c>
      <c r="D42" s="103">
        <f t="shared" si="5"/>
        <v>16400</v>
      </c>
      <c r="E42" s="106">
        <f t="shared" si="9"/>
        <v>16400</v>
      </c>
      <c r="F42" s="106">
        <f t="shared" si="10"/>
        <v>17000</v>
      </c>
      <c r="G42" s="103"/>
      <c r="H42" s="103"/>
      <c r="I42" s="103"/>
      <c r="J42" s="103"/>
      <c r="K42" s="103"/>
      <c r="L42" s="103">
        <v>16400</v>
      </c>
      <c r="M42" s="103">
        <v>16400</v>
      </c>
      <c r="N42" s="103">
        <v>17000</v>
      </c>
    </row>
    <row r="43" spans="1:14" ht="47.25" x14ac:dyDescent="0.25">
      <c r="A43" s="91" t="s">
        <v>167</v>
      </c>
      <c r="B43" s="102">
        <v>2021</v>
      </c>
      <c r="C43" s="102">
        <v>2017</v>
      </c>
      <c r="D43" s="103">
        <f t="shared" si="5"/>
        <v>5940</v>
      </c>
      <c r="E43" s="106">
        <f t="shared" si="9"/>
        <v>6000</v>
      </c>
      <c r="F43" s="106">
        <f t="shared" si="10"/>
        <v>6000</v>
      </c>
      <c r="G43" s="103"/>
      <c r="H43" s="103"/>
      <c r="I43" s="103"/>
      <c r="J43" s="103"/>
      <c r="K43" s="103"/>
      <c r="L43" s="103">
        <v>5940</v>
      </c>
      <c r="M43" s="103">
        <v>6000</v>
      </c>
      <c r="N43" s="103">
        <v>6000</v>
      </c>
    </row>
    <row r="44" spans="1:14" ht="15.75" x14ac:dyDescent="0.25">
      <c r="A44" s="88" t="s">
        <v>168</v>
      </c>
      <c r="B44" s="102">
        <v>2022</v>
      </c>
      <c r="C44" s="102">
        <v>2017</v>
      </c>
      <c r="D44" s="103">
        <f t="shared" si="5"/>
        <v>45000</v>
      </c>
      <c r="E44" s="106">
        <f t="shared" si="9"/>
        <v>45000</v>
      </c>
      <c r="F44" s="106">
        <f t="shared" si="10"/>
        <v>45000</v>
      </c>
      <c r="G44" s="103"/>
      <c r="H44" s="103"/>
      <c r="I44" s="103"/>
      <c r="J44" s="103"/>
      <c r="K44" s="103"/>
      <c r="L44" s="103">
        <v>45000</v>
      </c>
      <c r="M44" s="103">
        <v>45000</v>
      </c>
      <c r="N44" s="103">
        <v>45000</v>
      </c>
    </row>
    <row r="45" spans="1:14" ht="47.25" x14ac:dyDescent="0.25">
      <c r="A45" s="88" t="s">
        <v>169</v>
      </c>
      <c r="B45" s="102">
        <v>2023</v>
      </c>
      <c r="C45" s="102">
        <v>2017</v>
      </c>
      <c r="D45" s="103">
        <f t="shared" si="5"/>
        <v>30000</v>
      </c>
      <c r="E45" s="106">
        <f t="shared" si="9"/>
        <v>30000</v>
      </c>
      <c r="F45" s="106">
        <f t="shared" si="10"/>
        <v>33900</v>
      </c>
      <c r="G45" s="103"/>
      <c r="H45" s="103"/>
      <c r="I45" s="103"/>
      <c r="J45" s="103"/>
      <c r="K45" s="103"/>
      <c r="L45" s="103">
        <v>30000</v>
      </c>
      <c r="M45" s="103">
        <v>30000</v>
      </c>
      <c r="N45" s="103">
        <v>33900</v>
      </c>
    </row>
    <row r="46" spans="1:14" ht="47.25" x14ac:dyDescent="0.25">
      <c r="A46" s="88" t="s">
        <v>170</v>
      </c>
      <c r="B46" s="102">
        <v>2024</v>
      </c>
      <c r="C46" s="102">
        <v>2017</v>
      </c>
      <c r="D46" s="103">
        <f t="shared" si="5"/>
        <v>33000</v>
      </c>
      <c r="E46" s="106">
        <f t="shared" si="9"/>
        <v>33000</v>
      </c>
      <c r="F46" s="106">
        <f t="shared" si="10"/>
        <v>33000</v>
      </c>
      <c r="G46" s="103"/>
      <c r="H46" s="103"/>
      <c r="I46" s="103"/>
      <c r="J46" s="103"/>
      <c r="K46" s="103"/>
      <c r="L46" s="103">
        <v>33000</v>
      </c>
      <c r="M46" s="103">
        <v>33000</v>
      </c>
      <c r="N46" s="103">
        <v>33000</v>
      </c>
    </row>
    <row r="47" spans="1:14" ht="47.25" x14ac:dyDescent="0.25">
      <c r="A47" s="91" t="s">
        <v>171</v>
      </c>
      <c r="B47" s="102">
        <v>2025</v>
      </c>
      <c r="C47" s="102">
        <v>2017</v>
      </c>
      <c r="D47" s="103">
        <f t="shared" si="5"/>
        <v>19000</v>
      </c>
      <c r="E47" s="106">
        <f t="shared" si="9"/>
        <v>19000</v>
      </c>
      <c r="F47" s="106">
        <f t="shared" si="10"/>
        <v>20000</v>
      </c>
      <c r="G47" s="103"/>
      <c r="H47" s="103"/>
      <c r="I47" s="103"/>
      <c r="J47" s="103"/>
      <c r="K47" s="103"/>
      <c r="L47" s="103">
        <v>19000</v>
      </c>
      <c r="M47" s="103">
        <v>19000</v>
      </c>
      <c r="N47" s="103">
        <v>20000</v>
      </c>
    </row>
    <row r="48" spans="1:14" ht="15.75" x14ac:dyDescent="0.25">
      <c r="A48" s="91" t="s">
        <v>172</v>
      </c>
      <c r="B48" s="102">
        <v>2026</v>
      </c>
      <c r="C48" s="102">
        <v>2017</v>
      </c>
      <c r="D48" s="103">
        <f t="shared" si="5"/>
        <v>14000</v>
      </c>
      <c r="E48" s="106">
        <f t="shared" si="9"/>
        <v>14000</v>
      </c>
      <c r="F48" s="106">
        <f t="shared" si="10"/>
        <v>14000</v>
      </c>
      <c r="G48" s="103"/>
      <c r="H48" s="103"/>
      <c r="I48" s="103"/>
      <c r="J48" s="103"/>
      <c r="K48" s="103"/>
      <c r="L48" s="103">
        <v>14000</v>
      </c>
      <c r="M48" s="103">
        <v>14000</v>
      </c>
      <c r="N48" s="103">
        <v>14000</v>
      </c>
    </row>
    <row r="49" spans="1:14" ht="31.5" x14ac:dyDescent="0.25">
      <c r="A49" s="91" t="s">
        <v>173</v>
      </c>
      <c r="B49" s="102">
        <v>2027</v>
      </c>
      <c r="C49" s="102">
        <v>2017</v>
      </c>
      <c r="D49" s="103">
        <f t="shared" si="5"/>
        <v>22000</v>
      </c>
      <c r="E49" s="106">
        <f t="shared" si="9"/>
        <v>22000</v>
      </c>
      <c r="F49" s="106">
        <f t="shared" si="10"/>
        <v>22000</v>
      </c>
      <c r="G49" s="103"/>
      <c r="H49" s="103"/>
      <c r="I49" s="103"/>
      <c r="J49" s="103"/>
      <c r="K49" s="103"/>
      <c r="L49" s="103">
        <v>22000</v>
      </c>
      <c r="M49" s="103">
        <v>22000</v>
      </c>
      <c r="N49" s="103">
        <v>22000</v>
      </c>
    </row>
    <row r="50" spans="1:14" ht="47.25" x14ac:dyDescent="0.25">
      <c r="A50" s="91" t="s">
        <v>174</v>
      </c>
      <c r="B50" s="102">
        <v>2028</v>
      </c>
      <c r="C50" s="102">
        <v>2017</v>
      </c>
      <c r="D50" s="103">
        <f t="shared" si="5"/>
        <v>99900</v>
      </c>
      <c r="E50" s="106">
        <f t="shared" si="9"/>
        <v>99900</v>
      </c>
      <c r="F50" s="106">
        <f t="shared" si="10"/>
        <v>99900</v>
      </c>
      <c r="G50" s="103"/>
      <c r="H50" s="103"/>
      <c r="I50" s="103"/>
      <c r="J50" s="103"/>
      <c r="K50" s="103"/>
      <c r="L50" s="103">
        <f>85000+14900</f>
        <v>99900</v>
      </c>
      <c r="M50" s="103">
        <f t="shared" ref="M50:N50" si="12">85000+14900</f>
        <v>99900</v>
      </c>
      <c r="N50" s="103">
        <f t="shared" si="12"/>
        <v>99900</v>
      </c>
    </row>
    <row r="51" spans="1:14" ht="47.25" x14ac:dyDescent="0.25">
      <c r="A51" s="91" t="s">
        <v>175</v>
      </c>
      <c r="B51" s="102">
        <v>2029</v>
      </c>
      <c r="C51" s="102">
        <v>2017</v>
      </c>
      <c r="D51" s="103">
        <f t="shared" si="5"/>
        <v>130800</v>
      </c>
      <c r="E51" s="106">
        <f t="shared" si="9"/>
        <v>140000</v>
      </c>
      <c r="F51" s="106">
        <f t="shared" si="10"/>
        <v>160800</v>
      </c>
      <c r="G51" s="103"/>
      <c r="H51" s="103"/>
      <c r="I51" s="103"/>
      <c r="J51" s="103"/>
      <c r="K51" s="103"/>
      <c r="L51" s="103">
        <v>130800</v>
      </c>
      <c r="M51" s="103">
        <v>140000</v>
      </c>
      <c r="N51" s="103">
        <v>160800</v>
      </c>
    </row>
    <row r="52" spans="1:14" ht="47.25" x14ac:dyDescent="0.25">
      <c r="A52" s="91" t="s">
        <v>176</v>
      </c>
      <c r="B52" s="102">
        <v>2030</v>
      </c>
      <c r="C52" s="102">
        <v>2017</v>
      </c>
      <c r="D52" s="103">
        <f t="shared" si="5"/>
        <v>144000</v>
      </c>
      <c r="E52" s="106">
        <f t="shared" si="9"/>
        <v>144000</v>
      </c>
      <c r="F52" s="106">
        <f t="shared" si="10"/>
        <v>146000</v>
      </c>
      <c r="G52" s="103"/>
      <c r="H52" s="103"/>
      <c r="I52" s="103"/>
      <c r="J52" s="103"/>
      <c r="K52" s="103"/>
      <c r="L52" s="103">
        <f>72000+72000</f>
        <v>144000</v>
      </c>
      <c r="M52" s="103">
        <v>144000</v>
      </c>
      <c r="N52" s="103">
        <f>72000+72000+2000</f>
        <v>146000</v>
      </c>
    </row>
    <row r="53" spans="1:14" ht="31.5" x14ac:dyDescent="0.25">
      <c r="A53" s="91" t="s">
        <v>177</v>
      </c>
      <c r="B53" s="102">
        <v>2031</v>
      </c>
      <c r="C53" s="102">
        <v>2017</v>
      </c>
      <c r="D53" s="103">
        <f t="shared" si="5"/>
        <v>30000</v>
      </c>
      <c r="E53" s="106">
        <f t="shared" si="9"/>
        <v>30000</v>
      </c>
      <c r="F53" s="106">
        <f t="shared" si="10"/>
        <v>30000</v>
      </c>
      <c r="G53" s="103"/>
      <c r="H53" s="103"/>
      <c r="I53" s="103"/>
      <c r="J53" s="103"/>
      <c r="K53" s="103"/>
      <c r="L53" s="103">
        <v>30000</v>
      </c>
      <c r="M53" s="103">
        <v>30000</v>
      </c>
      <c r="N53" s="103">
        <v>30000</v>
      </c>
    </row>
    <row r="54" spans="1:14" ht="31.5" x14ac:dyDescent="0.25">
      <c r="A54" s="91" t="s">
        <v>178</v>
      </c>
      <c r="B54" s="102">
        <v>2032</v>
      </c>
      <c r="C54" s="102">
        <v>2017</v>
      </c>
      <c r="D54" s="103">
        <f t="shared" si="5"/>
        <v>4750</v>
      </c>
      <c r="E54" s="106">
        <f t="shared" si="9"/>
        <v>5000</v>
      </c>
      <c r="F54" s="106">
        <f t="shared" si="10"/>
        <v>5000</v>
      </c>
      <c r="G54" s="103"/>
      <c r="H54" s="103"/>
      <c r="I54" s="103"/>
      <c r="J54" s="103"/>
      <c r="K54" s="103"/>
      <c r="L54" s="103">
        <v>4750</v>
      </c>
      <c r="M54" s="103">
        <v>5000</v>
      </c>
      <c r="N54" s="103">
        <v>5000</v>
      </c>
    </row>
    <row r="55" spans="1:14" ht="15.75" x14ac:dyDescent="0.25">
      <c r="A55" s="91" t="s">
        <v>234</v>
      </c>
      <c r="B55" s="102">
        <v>2034</v>
      </c>
      <c r="C55" s="102">
        <v>2017</v>
      </c>
      <c r="D55" s="103">
        <f t="shared" si="5"/>
        <v>91681.07</v>
      </c>
      <c r="E55" s="106">
        <f t="shared" si="9"/>
        <v>248700</v>
      </c>
      <c r="F55" s="106">
        <f t="shared" si="10"/>
        <v>36000</v>
      </c>
      <c r="G55" s="103"/>
      <c r="H55" s="103"/>
      <c r="I55" s="103"/>
      <c r="J55" s="103"/>
      <c r="K55" s="103"/>
      <c r="L55" s="103">
        <f>77780+56.11+13844.96</f>
        <v>91681.07</v>
      </c>
      <c r="M55" s="103">
        <v>248700</v>
      </c>
      <c r="N55" s="103">
        <v>36000</v>
      </c>
    </row>
    <row r="56" spans="1:14" ht="15.75" x14ac:dyDescent="0.25">
      <c r="A56" s="92">
        <v>290</v>
      </c>
      <c r="B56" s="92"/>
      <c r="C56" s="92"/>
      <c r="D56" s="105">
        <f t="shared" si="5"/>
        <v>286265</v>
      </c>
      <c r="E56" s="90">
        <f>M56</f>
        <v>4490280</v>
      </c>
      <c r="F56" s="90">
        <f>N56</f>
        <v>4929480</v>
      </c>
      <c r="G56" s="90">
        <f t="shared" ref="G56:K56" si="13">SUM(G61:G81)</f>
        <v>0</v>
      </c>
      <c r="H56" s="90">
        <f t="shared" si="13"/>
        <v>0</v>
      </c>
      <c r="I56" s="90">
        <f t="shared" si="13"/>
        <v>0</v>
      </c>
      <c r="J56" s="90">
        <f t="shared" si="13"/>
        <v>0</v>
      </c>
      <c r="K56" s="90">
        <f t="shared" si="13"/>
        <v>0</v>
      </c>
      <c r="L56" s="90">
        <f>SUM(L57:L60)</f>
        <v>286265</v>
      </c>
      <c r="M56" s="90">
        <f t="shared" ref="M56:N56" si="14">SUM(M57:M60)</f>
        <v>4490280</v>
      </c>
      <c r="N56" s="90">
        <f t="shared" si="14"/>
        <v>4929480</v>
      </c>
    </row>
    <row r="57" spans="1:14" ht="31.5" x14ac:dyDescent="0.25">
      <c r="A57" s="91" t="s">
        <v>179</v>
      </c>
      <c r="B57" s="102">
        <v>2035</v>
      </c>
      <c r="C57" s="102">
        <v>2017</v>
      </c>
      <c r="D57" s="103">
        <f t="shared" si="5"/>
        <v>101805</v>
      </c>
      <c r="E57" s="103">
        <f>M57</f>
        <v>94045</v>
      </c>
      <c r="F57" s="103">
        <f>N57</f>
        <v>91405</v>
      </c>
      <c r="G57" s="103"/>
      <c r="H57" s="103"/>
      <c r="I57" s="103"/>
      <c r="J57" s="103"/>
      <c r="K57" s="103"/>
      <c r="L57" s="103">
        <f>16215+72220+10220+3150</f>
        <v>101805</v>
      </c>
      <c r="M57" s="103">
        <f>90895+3150</f>
        <v>94045</v>
      </c>
      <c r="N57" s="103">
        <f>88255+3150</f>
        <v>91405</v>
      </c>
    </row>
    <row r="58" spans="1:14" ht="15.75" x14ac:dyDescent="0.25">
      <c r="A58" s="91" t="s">
        <v>180</v>
      </c>
      <c r="B58" s="102">
        <v>2036</v>
      </c>
      <c r="C58" s="102">
        <v>2017</v>
      </c>
      <c r="D58" s="103">
        <f t="shared" si="5"/>
        <v>80080</v>
      </c>
      <c r="E58" s="103">
        <f>M58</f>
        <v>138780</v>
      </c>
      <c r="F58" s="103">
        <f t="shared" ref="F58:F60" si="15">N58</f>
        <v>141780</v>
      </c>
      <c r="G58" s="103"/>
      <c r="H58" s="103"/>
      <c r="I58" s="103"/>
      <c r="J58" s="103"/>
      <c r="K58" s="103"/>
      <c r="L58" s="103">
        <f>20700+30600+28780</f>
        <v>80080</v>
      </c>
      <c r="M58" s="103">
        <v>138780</v>
      </c>
      <c r="N58" s="103">
        <v>141780</v>
      </c>
    </row>
    <row r="59" spans="1:14" ht="31.5" x14ac:dyDescent="0.25">
      <c r="A59" s="91" t="s">
        <v>233</v>
      </c>
      <c r="B59" s="102">
        <v>2033</v>
      </c>
      <c r="C59" s="102">
        <v>2017</v>
      </c>
      <c r="D59" s="103">
        <f>L59</f>
        <v>0</v>
      </c>
      <c r="E59" s="103">
        <f>M59</f>
        <v>1495120</v>
      </c>
      <c r="F59" s="103">
        <f>N59</f>
        <v>1771120</v>
      </c>
      <c r="G59" s="103"/>
      <c r="H59" s="103"/>
      <c r="I59" s="103"/>
      <c r="J59" s="103"/>
      <c r="K59" s="103"/>
      <c r="L59" s="103">
        <v>0</v>
      </c>
      <c r="M59" s="103">
        <v>1495120</v>
      </c>
      <c r="N59" s="103">
        <v>1771120</v>
      </c>
    </row>
    <row r="60" spans="1:14" ht="31.5" x14ac:dyDescent="0.25">
      <c r="A60" s="91" t="s">
        <v>181</v>
      </c>
      <c r="B60" s="102">
        <v>2037</v>
      </c>
      <c r="C60" s="102">
        <v>2017</v>
      </c>
      <c r="D60" s="103">
        <f t="shared" si="5"/>
        <v>104380</v>
      </c>
      <c r="E60" s="103">
        <f>M60</f>
        <v>2762335</v>
      </c>
      <c r="F60" s="103">
        <f t="shared" si="15"/>
        <v>2925175</v>
      </c>
      <c r="G60" s="103"/>
      <c r="H60" s="103"/>
      <c r="I60" s="103"/>
      <c r="J60" s="103"/>
      <c r="K60" s="103"/>
      <c r="L60" s="103">
        <f>56200+20000+16400+1200+3530+1800+5250</f>
        <v>104380</v>
      </c>
      <c r="M60" s="103">
        <f>2757085+5250</f>
        <v>2762335</v>
      </c>
      <c r="N60" s="103">
        <f>2919925+5250</f>
        <v>2925175</v>
      </c>
    </row>
    <row r="61" spans="1:14" ht="15.75" x14ac:dyDescent="0.25">
      <c r="A61" s="92">
        <v>226</v>
      </c>
      <c r="B61" s="92"/>
      <c r="C61" s="92"/>
      <c r="D61" s="105">
        <f t="shared" si="5"/>
        <v>2862389.93</v>
      </c>
      <c r="E61" s="90">
        <f>M61</f>
        <v>2632713</v>
      </c>
      <c r="F61" s="90">
        <f>N61</f>
        <v>2680513</v>
      </c>
      <c r="G61" s="90">
        <f t="shared" ref="G61:K61" si="16">SUM(G62:G87)</f>
        <v>0</v>
      </c>
      <c r="H61" s="90">
        <f t="shared" si="16"/>
        <v>0</v>
      </c>
      <c r="I61" s="90">
        <f t="shared" si="16"/>
        <v>0</v>
      </c>
      <c r="J61" s="90">
        <f t="shared" si="16"/>
        <v>0</v>
      </c>
      <c r="K61" s="90">
        <f t="shared" si="16"/>
        <v>0</v>
      </c>
      <c r="L61" s="90">
        <f>SUM(L62:L93)</f>
        <v>2862389.93</v>
      </c>
      <c r="M61" s="90">
        <f t="shared" ref="M61:N61" si="17">SUM(M62:M93)</f>
        <v>2632713</v>
      </c>
      <c r="N61" s="90">
        <f t="shared" si="17"/>
        <v>2680513</v>
      </c>
    </row>
    <row r="62" spans="1:14" ht="31.5" x14ac:dyDescent="0.25">
      <c r="A62" s="91" t="s">
        <v>182</v>
      </c>
      <c r="B62" s="102">
        <v>2038</v>
      </c>
      <c r="C62" s="102">
        <v>2017</v>
      </c>
      <c r="D62" s="103">
        <f t="shared" si="5"/>
        <v>90000</v>
      </c>
      <c r="E62" s="103">
        <f>M62</f>
        <v>143000</v>
      </c>
      <c r="F62" s="103">
        <f>N62</f>
        <v>143000</v>
      </c>
      <c r="G62" s="103"/>
      <c r="H62" s="103"/>
      <c r="I62" s="103"/>
      <c r="J62" s="103"/>
      <c r="K62" s="103"/>
      <c r="L62" s="103">
        <v>90000</v>
      </c>
      <c r="M62" s="103">
        <f t="shared" ref="M62:N62" si="18">140000+3000</f>
        <v>143000</v>
      </c>
      <c r="N62" s="103">
        <f t="shared" si="18"/>
        <v>143000</v>
      </c>
    </row>
    <row r="63" spans="1:14" ht="31.5" x14ac:dyDescent="0.25">
      <c r="A63" s="91" t="s">
        <v>183</v>
      </c>
      <c r="B63" s="102">
        <v>2039</v>
      </c>
      <c r="C63" s="102">
        <v>2017</v>
      </c>
      <c r="D63" s="103">
        <f t="shared" si="5"/>
        <v>20000</v>
      </c>
      <c r="E63" s="106">
        <f t="shared" ref="E63:E93" si="19">M63</f>
        <v>25000</v>
      </c>
      <c r="F63" s="106">
        <f t="shared" ref="F63:F93" si="20">N63</f>
        <v>25000</v>
      </c>
      <c r="G63" s="103"/>
      <c r="H63" s="103"/>
      <c r="I63" s="103"/>
      <c r="J63" s="103"/>
      <c r="K63" s="103"/>
      <c r="L63" s="103">
        <v>20000</v>
      </c>
      <c r="M63" s="103">
        <v>25000</v>
      </c>
      <c r="N63" s="103">
        <v>25000</v>
      </c>
    </row>
    <row r="64" spans="1:14" ht="47.25" x14ac:dyDescent="0.25">
      <c r="A64" s="91" t="s">
        <v>184</v>
      </c>
      <c r="B64" s="102">
        <v>2040</v>
      </c>
      <c r="C64" s="102">
        <v>2017</v>
      </c>
      <c r="D64" s="103">
        <f t="shared" si="5"/>
        <v>90000</v>
      </c>
      <c r="E64" s="106">
        <f t="shared" si="19"/>
        <v>90000</v>
      </c>
      <c r="F64" s="106">
        <f t="shared" si="20"/>
        <v>90000</v>
      </c>
      <c r="G64" s="103"/>
      <c r="H64" s="103"/>
      <c r="I64" s="103"/>
      <c r="J64" s="103"/>
      <c r="K64" s="103"/>
      <c r="L64" s="103">
        <v>90000</v>
      </c>
      <c r="M64" s="103">
        <v>90000</v>
      </c>
      <c r="N64" s="103">
        <v>90000</v>
      </c>
    </row>
    <row r="65" spans="1:14" ht="31.5" x14ac:dyDescent="0.25">
      <c r="A65" s="91" t="s">
        <v>185</v>
      </c>
      <c r="B65" s="102">
        <v>2041</v>
      </c>
      <c r="C65" s="102">
        <v>2017</v>
      </c>
      <c r="D65" s="103">
        <f t="shared" ref="D65:D108" si="21">L65</f>
        <v>130000</v>
      </c>
      <c r="E65" s="106">
        <f t="shared" si="19"/>
        <v>25000</v>
      </c>
      <c r="F65" s="106">
        <f t="shared" si="20"/>
        <v>25000</v>
      </c>
      <c r="G65" s="103"/>
      <c r="H65" s="103"/>
      <c r="I65" s="103"/>
      <c r="J65" s="103"/>
      <c r="K65" s="103"/>
      <c r="L65" s="103">
        <v>130000</v>
      </c>
      <c r="M65" s="103">
        <v>25000</v>
      </c>
      <c r="N65" s="103">
        <v>25000</v>
      </c>
    </row>
    <row r="66" spans="1:14" ht="31.5" x14ac:dyDescent="0.25">
      <c r="A66" s="91" t="s">
        <v>186</v>
      </c>
      <c r="B66" s="102">
        <v>2042</v>
      </c>
      <c r="C66" s="102">
        <v>2017</v>
      </c>
      <c r="D66" s="103">
        <f t="shared" si="21"/>
        <v>6600</v>
      </c>
      <c r="E66" s="106">
        <f t="shared" si="19"/>
        <v>6600</v>
      </c>
      <c r="F66" s="106">
        <f t="shared" si="20"/>
        <v>6600</v>
      </c>
      <c r="G66" s="103"/>
      <c r="H66" s="103"/>
      <c r="I66" s="103"/>
      <c r="J66" s="103"/>
      <c r="K66" s="103"/>
      <c r="L66" s="103">
        <v>6600</v>
      </c>
      <c r="M66" s="103">
        <v>6600</v>
      </c>
      <c r="N66" s="103">
        <v>6600</v>
      </c>
    </row>
    <row r="67" spans="1:14" ht="31.5" x14ac:dyDescent="0.25">
      <c r="A67" s="91" t="s">
        <v>187</v>
      </c>
      <c r="B67" s="102">
        <v>2043</v>
      </c>
      <c r="C67" s="102">
        <v>2017</v>
      </c>
      <c r="D67" s="103">
        <f t="shared" si="21"/>
        <v>41500</v>
      </c>
      <c r="E67" s="106">
        <f t="shared" si="19"/>
        <v>41500</v>
      </c>
      <c r="F67" s="106">
        <f t="shared" si="20"/>
        <v>41500</v>
      </c>
      <c r="G67" s="103"/>
      <c r="H67" s="103"/>
      <c r="I67" s="103"/>
      <c r="J67" s="103"/>
      <c r="K67" s="103"/>
      <c r="L67" s="103">
        <v>41500</v>
      </c>
      <c r="M67" s="103">
        <v>41500</v>
      </c>
      <c r="N67" s="103">
        <v>41500</v>
      </c>
    </row>
    <row r="68" spans="1:14" ht="63" x14ac:dyDescent="0.25">
      <c r="A68" s="91" t="s">
        <v>188</v>
      </c>
      <c r="B68" s="102">
        <v>2044</v>
      </c>
      <c r="C68" s="102">
        <v>2017</v>
      </c>
      <c r="D68" s="103">
        <f t="shared" si="21"/>
        <v>50000</v>
      </c>
      <c r="E68" s="106">
        <f t="shared" si="19"/>
        <v>50000</v>
      </c>
      <c r="F68" s="106">
        <f t="shared" si="20"/>
        <v>50000</v>
      </c>
      <c r="G68" s="103"/>
      <c r="H68" s="103"/>
      <c r="I68" s="103"/>
      <c r="J68" s="103"/>
      <c r="K68" s="103"/>
      <c r="L68" s="103">
        <v>50000</v>
      </c>
      <c r="M68" s="103">
        <v>50000</v>
      </c>
      <c r="N68" s="103">
        <v>50000</v>
      </c>
    </row>
    <row r="69" spans="1:14" ht="21" customHeight="1" x14ac:dyDescent="0.25">
      <c r="A69" s="91" t="s">
        <v>189</v>
      </c>
      <c r="B69" s="102">
        <v>2045</v>
      </c>
      <c r="C69" s="102">
        <v>2017</v>
      </c>
      <c r="D69" s="103">
        <f t="shared" si="21"/>
        <v>63000</v>
      </c>
      <c r="E69" s="106">
        <f t="shared" si="19"/>
        <v>63000</v>
      </c>
      <c r="F69" s="106">
        <f t="shared" si="20"/>
        <v>63000</v>
      </c>
      <c r="G69" s="103"/>
      <c r="H69" s="103"/>
      <c r="I69" s="103"/>
      <c r="J69" s="103"/>
      <c r="K69" s="103"/>
      <c r="L69" s="103">
        <v>63000</v>
      </c>
      <c r="M69" s="103">
        <v>63000</v>
      </c>
      <c r="N69" s="103">
        <v>63000</v>
      </c>
    </row>
    <row r="70" spans="1:14" ht="39" customHeight="1" x14ac:dyDescent="0.25">
      <c r="A70" s="91" t="s">
        <v>190</v>
      </c>
      <c r="B70" s="102">
        <v>2046</v>
      </c>
      <c r="C70" s="102">
        <v>2017</v>
      </c>
      <c r="D70" s="103">
        <f t="shared" si="21"/>
        <v>67000</v>
      </c>
      <c r="E70" s="106">
        <f t="shared" si="19"/>
        <v>67000</v>
      </c>
      <c r="F70" s="106">
        <f t="shared" si="20"/>
        <v>67000</v>
      </c>
      <c r="G70" s="103"/>
      <c r="H70" s="103"/>
      <c r="I70" s="103"/>
      <c r="J70" s="103"/>
      <c r="K70" s="103"/>
      <c r="L70" s="103">
        <v>67000</v>
      </c>
      <c r="M70" s="103">
        <v>67000</v>
      </c>
      <c r="N70" s="103">
        <v>67000</v>
      </c>
    </row>
    <row r="71" spans="1:14" ht="37.5" customHeight="1" x14ac:dyDescent="0.25">
      <c r="A71" s="91" t="s">
        <v>191</v>
      </c>
      <c r="B71" s="102">
        <v>2047</v>
      </c>
      <c r="C71" s="102">
        <v>2017</v>
      </c>
      <c r="D71" s="103">
        <f t="shared" si="21"/>
        <v>16000</v>
      </c>
      <c r="E71" s="106">
        <f t="shared" si="19"/>
        <v>23000</v>
      </c>
      <c r="F71" s="106">
        <f t="shared" si="20"/>
        <v>23000</v>
      </c>
      <c r="G71" s="103"/>
      <c r="H71" s="103"/>
      <c r="I71" s="103"/>
      <c r="J71" s="103"/>
      <c r="K71" s="103"/>
      <c r="L71" s="103">
        <v>16000</v>
      </c>
      <c r="M71" s="103">
        <v>23000</v>
      </c>
      <c r="N71" s="103">
        <v>23000</v>
      </c>
    </row>
    <row r="72" spans="1:14" ht="36.75" customHeight="1" x14ac:dyDescent="0.25">
      <c r="A72" s="91" t="s">
        <v>192</v>
      </c>
      <c r="B72" s="102">
        <v>2048</v>
      </c>
      <c r="C72" s="102">
        <v>2017</v>
      </c>
      <c r="D72" s="103">
        <f t="shared" si="21"/>
        <v>12000</v>
      </c>
      <c r="E72" s="106">
        <f t="shared" si="19"/>
        <v>12000</v>
      </c>
      <c r="F72" s="106">
        <f t="shared" si="20"/>
        <v>12000</v>
      </c>
      <c r="G72" s="103"/>
      <c r="H72" s="103"/>
      <c r="I72" s="103"/>
      <c r="J72" s="103"/>
      <c r="K72" s="103"/>
      <c r="L72" s="103">
        <v>12000</v>
      </c>
      <c r="M72" s="103">
        <v>12000</v>
      </c>
      <c r="N72" s="103">
        <v>12000</v>
      </c>
    </row>
    <row r="73" spans="1:14" ht="34.5" customHeight="1" x14ac:dyDescent="0.25">
      <c r="A73" s="91" t="s">
        <v>193</v>
      </c>
      <c r="B73" s="102">
        <v>2049</v>
      </c>
      <c r="C73" s="102">
        <v>2017</v>
      </c>
      <c r="D73" s="103">
        <f t="shared" si="21"/>
        <v>9000</v>
      </c>
      <c r="E73" s="106">
        <f t="shared" si="19"/>
        <v>2000</v>
      </c>
      <c r="F73" s="106">
        <f t="shared" si="20"/>
        <v>2000</v>
      </c>
      <c r="G73" s="103"/>
      <c r="H73" s="103"/>
      <c r="I73" s="103"/>
      <c r="J73" s="103"/>
      <c r="K73" s="103"/>
      <c r="L73" s="103">
        <v>9000</v>
      </c>
      <c r="M73" s="103">
        <v>2000</v>
      </c>
      <c r="N73" s="103">
        <v>2000</v>
      </c>
    </row>
    <row r="74" spans="1:14" ht="18.75" customHeight="1" x14ac:dyDescent="0.25">
      <c r="A74" s="91" t="s">
        <v>194</v>
      </c>
      <c r="B74" s="102">
        <v>2050</v>
      </c>
      <c r="C74" s="102">
        <v>2017</v>
      </c>
      <c r="D74" s="103">
        <f t="shared" si="21"/>
        <v>2000</v>
      </c>
      <c r="E74" s="106">
        <f t="shared" si="19"/>
        <v>2000</v>
      </c>
      <c r="F74" s="106">
        <f t="shared" si="20"/>
        <v>2000</v>
      </c>
      <c r="G74" s="103"/>
      <c r="H74" s="103"/>
      <c r="I74" s="103"/>
      <c r="J74" s="103"/>
      <c r="K74" s="103"/>
      <c r="L74" s="103">
        <v>2000</v>
      </c>
      <c r="M74" s="103">
        <v>2000</v>
      </c>
      <c r="N74" s="103">
        <v>2000</v>
      </c>
    </row>
    <row r="75" spans="1:14" ht="36.75" customHeight="1" x14ac:dyDescent="0.25">
      <c r="A75" s="91" t="s">
        <v>195</v>
      </c>
      <c r="B75" s="102">
        <v>2051</v>
      </c>
      <c r="C75" s="102">
        <v>2017</v>
      </c>
      <c r="D75" s="103">
        <f t="shared" si="21"/>
        <v>13000</v>
      </c>
      <c r="E75" s="106">
        <f t="shared" si="19"/>
        <v>13000</v>
      </c>
      <c r="F75" s="106">
        <f t="shared" si="20"/>
        <v>13000</v>
      </c>
      <c r="G75" s="103"/>
      <c r="H75" s="103"/>
      <c r="I75" s="103"/>
      <c r="J75" s="103"/>
      <c r="K75" s="103"/>
      <c r="L75" s="103">
        <v>13000</v>
      </c>
      <c r="M75" s="103">
        <v>13000</v>
      </c>
      <c r="N75" s="103">
        <v>13000</v>
      </c>
    </row>
    <row r="76" spans="1:14" ht="52.5" customHeight="1" x14ac:dyDescent="0.25">
      <c r="A76" s="91" t="s">
        <v>196</v>
      </c>
      <c r="B76" s="102">
        <v>2052</v>
      </c>
      <c r="C76" s="102">
        <v>2017</v>
      </c>
      <c r="D76" s="103">
        <f t="shared" si="21"/>
        <v>24000</v>
      </c>
      <c r="E76" s="106">
        <f t="shared" si="19"/>
        <v>24000</v>
      </c>
      <c r="F76" s="106">
        <f t="shared" si="20"/>
        <v>24000</v>
      </c>
      <c r="G76" s="103"/>
      <c r="H76" s="103"/>
      <c r="I76" s="103"/>
      <c r="J76" s="103"/>
      <c r="K76" s="103"/>
      <c r="L76" s="103">
        <v>24000</v>
      </c>
      <c r="M76" s="103">
        <v>24000</v>
      </c>
      <c r="N76" s="103">
        <v>24000</v>
      </c>
    </row>
    <row r="77" spans="1:14" ht="18" customHeight="1" x14ac:dyDescent="0.25">
      <c r="A77" s="91" t="s">
        <v>197</v>
      </c>
      <c r="B77" s="102">
        <v>2053</v>
      </c>
      <c r="C77" s="102">
        <v>2017</v>
      </c>
      <c r="D77" s="103">
        <f t="shared" si="21"/>
        <v>6179.26</v>
      </c>
      <c r="E77" s="106">
        <f t="shared" si="19"/>
        <v>6000</v>
      </c>
      <c r="F77" s="106">
        <f t="shared" si="20"/>
        <v>6000</v>
      </c>
      <c r="G77" s="103"/>
      <c r="H77" s="103"/>
      <c r="I77" s="103"/>
      <c r="J77" s="103"/>
      <c r="K77" s="103"/>
      <c r="L77" s="103">
        <f>6000+179.26</f>
        <v>6179.26</v>
      </c>
      <c r="M77" s="103">
        <v>6000</v>
      </c>
      <c r="N77" s="103">
        <v>6000</v>
      </c>
    </row>
    <row r="78" spans="1:14" ht="36" customHeight="1" x14ac:dyDescent="0.25">
      <c r="A78" s="91" t="s">
        <v>198</v>
      </c>
      <c r="B78" s="102">
        <v>2054</v>
      </c>
      <c r="C78" s="102">
        <v>2017</v>
      </c>
      <c r="D78" s="103">
        <f t="shared" si="21"/>
        <v>0</v>
      </c>
      <c r="E78" s="106">
        <f t="shared" si="19"/>
        <v>79010</v>
      </c>
      <c r="F78" s="106">
        <f t="shared" si="20"/>
        <v>79010</v>
      </c>
      <c r="G78" s="103"/>
      <c r="H78" s="103"/>
      <c r="I78" s="103"/>
      <c r="J78" s="103"/>
      <c r="K78" s="103"/>
      <c r="L78" s="103">
        <v>0</v>
      </c>
      <c r="M78" s="103">
        <v>79010</v>
      </c>
      <c r="N78" s="103">
        <v>79010</v>
      </c>
    </row>
    <row r="79" spans="1:14" ht="21.75" customHeight="1" x14ac:dyDescent="0.25">
      <c r="A79" s="91" t="s">
        <v>199</v>
      </c>
      <c r="B79" s="102">
        <v>2055</v>
      </c>
      <c r="C79" s="102">
        <v>2017</v>
      </c>
      <c r="D79" s="103">
        <f t="shared" si="21"/>
        <v>55000</v>
      </c>
      <c r="E79" s="106">
        <f t="shared" si="19"/>
        <v>55000</v>
      </c>
      <c r="F79" s="106">
        <f t="shared" si="20"/>
        <v>55000</v>
      </c>
      <c r="G79" s="103"/>
      <c r="H79" s="103"/>
      <c r="I79" s="103"/>
      <c r="J79" s="103"/>
      <c r="K79" s="103"/>
      <c r="L79" s="103">
        <v>55000</v>
      </c>
      <c r="M79" s="103">
        <v>55000</v>
      </c>
      <c r="N79" s="103">
        <v>55000</v>
      </c>
    </row>
    <row r="80" spans="1:14" ht="51" customHeight="1" x14ac:dyDescent="0.25">
      <c r="A80" s="91" t="s">
        <v>200</v>
      </c>
      <c r="B80" s="102">
        <v>2056</v>
      </c>
      <c r="C80" s="102">
        <v>2017</v>
      </c>
      <c r="D80" s="103">
        <f t="shared" si="21"/>
        <v>53000</v>
      </c>
      <c r="E80" s="106">
        <f t="shared" si="19"/>
        <v>53000</v>
      </c>
      <c r="F80" s="106">
        <f t="shared" si="20"/>
        <v>53000</v>
      </c>
      <c r="G80" s="103"/>
      <c r="H80" s="103"/>
      <c r="I80" s="103"/>
      <c r="J80" s="103"/>
      <c r="K80" s="103"/>
      <c r="L80" s="103">
        <v>53000</v>
      </c>
      <c r="M80" s="103">
        <v>53000</v>
      </c>
      <c r="N80" s="103">
        <v>53000</v>
      </c>
    </row>
    <row r="81" spans="1:14" ht="66.75" customHeight="1" x14ac:dyDescent="0.25">
      <c r="A81" s="91" t="s">
        <v>201</v>
      </c>
      <c r="B81" s="102">
        <v>2057</v>
      </c>
      <c r="C81" s="102">
        <v>2017</v>
      </c>
      <c r="D81" s="103">
        <f t="shared" si="21"/>
        <v>21690</v>
      </c>
      <c r="E81" s="106">
        <f t="shared" si="19"/>
        <v>21290</v>
      </c>
      <c r="F81" s="106">
        <f t="shared" si="20"/>
        <v>21690</v>
      </c>
      <c r="G81" s="103"/>
      <c r="H81" s="103"/>
      <c r="I81" s="103"/>
      <c r="J81" s="103"/>
      <c r="K81" s="103"/>
      <c r="L81" s="103">
        <v>21690</v>
      </c>
      <c r="M81" s="103">
        <v>21290</v>
      </c>
      <c r="N81" s="103">
        <v>21690</v>
      </c>
    </row>
    <row r="82" spans="1:14" ht="33.75" customHeight="1" x14ac:dyDescent="0.25">
      <c r="A82" s="91" t="s">
        <v>202</v>
      </c>
      <c r="B82" s="102">
        <v>2058</v>
      </c>
      <c r="C82" s="102">
        <v>2017</v>
      </c>
      <c r="D82" s="103">
        <f t="shared" si="21"/>
        <v>129407.67</v>
      </c>
      <c r="E82" s="106">
        <f t="shared" si="19"/>
        <v>110000</v>
      </c>
      <c r="F82" s="106">
        <f t="shared" si="20"/>
        <v>110000</v>
      </c>
      <c r="G82" s="103"/>
      <c r="H82" s="103"/>
      <c r="I82" s="103"/>
      <c r="J82" s="103"/>
      <c r="K82" s="103"/>
      <c r="L82" s="103">
        <f>110000+19385.75+21.92</f>
        <v>129407.67</v>
      </c>
      <c r="M82" s="103">
        <v>110000</v>
      </c>
      <c r="N82" s="103">
        <v>110000</v>
      </c>
    </row>
    <row r="83" spans="1:14" ht="47.25" x14ac:dyDescent="0.25">
      <c r="A83" s="91" t="s">
        <v>203</v>
      </c>
      <c r="B83" s="102">
        <v>2059</v>
      </c>
      <c r="C83" s="102">
        <v>2017</v>
      </c>
      <c r="D83" s="103">
        <f t="shared" si="21"/>
        <v>89000</v>
      </c>
      <c r="E83" s="106">
        <f t="shared" si="19"/>
        <v>85000</v>
      </c>
      <c r="F83" s="106">
        <f t="shared" si="20"/>
        <v>85000</v>
      </c>
      <c r="G83" s="103"/>
      <c r="H83" s="103"/>
      <c r="I83" s="103"/>
      <c r="J83" s="103"/>
      <c r="K83" s="103"/>
      <c r="L83" s="103">
        <v>89000</v>
      </c>
      <c r="M83" s="103">
        <v>85000</v>
      </c>
      <c r="N83" s="103">
        <v>85000</v>
      </c>
    </row>
    <row r="84" spans="1:14" ht="63" x14ac:dyDescent="0.25">
      <c r="A84" s="91" t="s">
        <v>204</v>
      </c>
      <c r="B84" s="102">
        <v>2060</v>
      </c>
      <c r="C84" s="102">
        <v>2017</v>
      </c>
      <c r="D84" s="103">
        <f t="shared" si="21"/>
        <v>29000</v>
      </c>
      <c r="E84" s="106">
        <f t="shared" si="19"/>
        <v>29000</v>
      </c>
      <c r="F84" s="106">
        <f t="shared" si="20"/>
        <v>29000</v>
      </c>
      <c r="G84" s="103"/>
      <c r="H84" s="103"/>
      <c r="I84" s="103"/>
      <c r="J84" s="103"/>
      <c r="K84" s="103"/>
      <c r="L84" s="103">
        <v>29000</v>
      </c>
      <c r="M84" s="103">
        <v>29000</v>
      </c>
      <c r="N84" s="103">
        <v>29000</v>
      </c>
    </row>
    <row r="85" spans="1:14" ht="15.75" x14ac:dyDescent="0.25">
      <c r="A85" s="91" t="s">
        <v>235</v>
      </c>
      <c r="B85" s="102">
        <v>2061</v>
      </c>
      <c r="C85" s="102">
        <v>2017</v>
      </c>
      <c r="D85" s="103">
        <f t="shared" si="21"/>
        <v>51013</v>
      </c>
      <c r="E85" s="106">
        <f t="shared" si="19"/>
        <v>47613</v>
      </c>
      <c r="F85" s="106">
        <f t="shared" si="20"/>
        <v>12013</v>
      </c>
      <c r="G85" s="103"/>
      <c r="H85" s="103"/>
      <c r="I85" s="103"/>
      <c r="J85" s="103"/>
      <c r="K85" s="103"/>
      <c r="L85" s="103">
        <v>51013</v>
      </c>
      <c r="M85" s="103">
        <v>47613</v>
      </c>
      <c r="N85" s="103">
        <v>12013</v>
      </c>
    </row>
    <row r="86" spans="1:14" ht="15.75" x14ac:dyDescent="0.25">
      <c r="A86" s="91" t="s">
        <v>236</v>
      </c>
      <c r="B86" s="102">
        <v>2062</v>
      </c>
      <c r="C86" s="102">
        <v>2017</v>
      </c>
      <c r="D86" s="103">
        <f t="shared" si="21"/>
        <v>10000</v>
      </c>
      <c r="E86" s="106">
        <f t="shared" si="19"/>
        <v>10000</v>
      </c>
      <c r="F86" s="106">
        <f t="shared" si="20"/>
        <v>10000</v>
      </c>
      <c r="G86" s="103"/>
      <c r="H86" s="103"/>
      <c r="I86" s="103"/>
      <c r="J86" s="103"/>
      <c r="K86" s="103"/>
      <c r="L86" s="103">
        <v>10000</v>
      </c>
      <c r="M86" s="103">
        <v>10000</v>
      </c>
      <c r="N86" s="103">
        <v>10000</v>
      </c>
    </row>
    <row r="87" spans="1:14" ht="64.5" customHeight="1" x14ac:dyDescent="0.25">
      <c r="A87" s="91" t="s">
        <v>205</v>
      </c>
      <c r="B87" s="102">
        <v>2063</v>
      </c>
      <c r="C87" s="102">
        <v>2017</v>
      </c>
      <c r="D87" s="103">
        <f t="shared" si="21"/>
        <v>8000</v>
      </c>
      <c r="E87" s="106">
        <f t="shared" si="19"/>
        <v>8000</v>
      </c>
      <c r="F87" s="106">
        <f t="shared" si="20"/>
        <v>8000</v>
      </c>
      <c r="G87" s="103"/>
      <c r="H87" s="103"/>
      <c r="I87" s="103"/>
      <c r="J87" s="103"/>
      <c r="K87" s="103"/>
      <c r="L87" s="103">
        <v>8000</v>
      </c>
      <c r="M87" s="103">
        <v>8000</v>
      </c>
      <c r="N87" s="103">
        <v>8000</v>
      </c>
    </row>
    <row r="88" spans="1:14" ht="21" customHeight="1" x14ac:dyDescent="0.25">
      <c r="A88" s="91" t="s">
        <v>206</v>
      </c>
      <c r="B88" s="102">
        <v>2064</v>
      </c>
      <c r="C88" s="102">
        <v>2017</v>
      </c>
      <c r="D88" s="103">
        <f t="shared" si="21"/>
        <v>2000</v>
      </c>
      <c r="E88" s="106">
        <f t="shared" si="19"/>
        <v>2000</v>
      </c>
      <c r="F88" s="106">
        <f t="shared" si="20"/>
        <v>2000</v>
      </c>
      <c r="G88" s="103"/>
      <c r="H88" s="103"/>
      <c r="I88" s="103"/>
      <c r="J88" s="103"/>
      <c r="K88" s="103"/>
      <c r="L88" s="103">
        <v>2000</v>
      </c>
      <c r="M88" s="103">
        <v>2000</v>
      </c>
      <c r="N88" s="103">
        <v>2000</v>
      </c>
    </row>
    <row r="89" spans="1:14" ht="20.25" customHeight="1" x14ac:dyDescent="0.25">
      <c r="A89" s="91" t="s">
        <v>207</v>
      </c>
      <c r="B89" s="102">
        <v>2065</v>
      </c>
      <c r="C89" s="102">
        <v>2017</v>
      </c>
      <c r="D89" s="103">
        <f t="shared" si="21"/>
        <v>200000</v>
      </c>
      <c r="E89" s="106">
        <f t="shared" si="19"/>
        <v>200000</v>
      </c>
      <c r="F89" s="106">
        <f t="shared" si="20"/>
        <v>200000</v>
      </c>
      <c r="G89" s="103"/>
      <c r="H89" s="103"/>
      <c r="I89" s="103"/>
      <c r="J89" s="103"/>
      <c r="K89" s="103"/>
      <c r="L89" s="103">
        <v>200000</v>
      </c>
      <c r="M89" s="103">
        <v>200000</v>
      </c>
      <c r="N89" s="103">
        <v>200000</v>
      </c>
    </row>
    <row r="90" spans="1:14" ht="20.25" customHeight="1" x14ac:dyDescent="0.25">
      <c r="A90" s="91" t="s">
        <v>208</v>
      </c>
      <c r="B90" s="102">
        <v>2066</v>
      </c>
      <c r="C90" s="102">
        <v>2017</v>
      </c>
      <c r="D90" s="103">
        <f t="shared" si="21"/>
        <v>1239000</v>
      </c>
      <c r="E90" s="106">
        <f t="shared" si="19"/>
        <v>1000000</v>
      </c>
      <c r="F90" s="106">
        <f t="shared" si="20"/>
        <v>1040000</v>
      </c>
      <c r="G90" s="103"/>
      <c r="H90" s="103"/>
      <c r="I90" s="103"/>
      <c r="J90" s="103"/>
      <c r="K90" s="103"/>
      <c r="L90" s="103">
        <f>1250000-11000</f>
        <v>1239000</v>
      </c>
      <c r="M90" s="103">
        <v>1000000</v>
      </c>
      <c r="N90" s="103">
        <v>1040000</v>
      </c>
    </row>
    <row r="91" spans="1:14" ht="54.75" customHeight="1" x14ac:dyDescent="0.25">
      <c r="A91" s="91" t="s">
        <v>209</v>
      </c>
      <c r="B91" s="102">
        <v>2067</v>
      </c>
      <c r="C91" s="102">
        <v>2017</v>
      </c>
      <c r="D91" s="103">
        <f t="shared" si="21"/>
        <v>100000</v>
      </c>
      <c r="E91" s="106">
        <f t="shared" si="19"/>
        <v>100000</v>
      </c>
      <c r="F91" s="106">
        <f t="shared" si="20"/>
        <v>100000</v>
      </c>
      <c r="G91" s="103"/>
      <c r="H91" s="103"/>
      <c r="I91" s="103"/>
      <c r="J91" s="103"/>
      <c r="K91" s="103"/>
      <c r="L91" s="103">
        <v>100000</v>
      </c>
      <c r="M91" s="103">
        <v>100000</v>
      </c>
      <c r="N91" s="103">
        <v>100000</v>
      </c>
    </row>
    <row r="92" spans="1:14" ht="35.25" customHeight="1" x14ac:dyDescent="0.25">
      <c r="A92" s="91" t="s">
        <v>210</v>
      </c>
      <c r="B92" s="102">
        <v>2068</v>
      </c>
      <c r="C92" s="102">
        <v>2017</v>
      </c>
      <c r="D92" s="103">
        <f t="shared" si="21"/>
        <v>50000</v>
      </c>
      <c r="E92" s="106">
        <f t="shared" si="19"/>
        <v>50000</v>
      </c>
      <c r="F92" s="106">
        <f t="shared" si="20"/>
        <v>50000</v>
      </c>
      <c r="G92" s="103"/>
      <c r="H92" s="103"/>
      <c r="I92" s="103"/>
      <c r="J92" s="103"/>
      <c r="K92" s="103"/>
      <c r="L92" s="103">
        <v>50000</v>
      </c>
      <c r="M92" s="103">
        <v>50000</v>
      </c>
      <c r="N92" s="103">
        <v>50000</v>
      </c>
    </row>
    <row r="93" spans="1:14" ht="52.5" customHeight="1" x14ac:dyDescent="0.25">
      <c r="A93" s="91" t="s">
        <v>211</v>
      </c>
      <c r="B93" s="102">
        <v>2069</v>
      </c>
      <c r="C93" s="102">
        <v>2017</v>
      </c>
      <c r="D93" s="103">
        <f t="shared" si="21"/>
        <v>185000</v>
      </c>
      <c r="E93" s="106">
        <f t="shared" si="19"/>
        <v>189700</v>
      </c>
      <c r="F93" s="106">
        <f t="shared" si="20"/>
        <v>232700</v>
      </c>
      <c r="G93" s="103"/>
      <c r="H93" s="103"/>
      <c r="I93" s="103"/>
      <c r="J93" s="103"/>
      <c r="K93" s="103"/>
      <c r="L93" s="103">
        <f>159000+26000</f>
        <v>185000</v>
      </c>
      <c r="M93" s="103">
        <f>163700+26000</f>
        <v>189700</v>
      </c>
      <c r="N93" s="103">
        <f>206700+26000</f>
        <v>232700</v>
      </c>
    </row>
    <row r="94" spans="1:14" ht="19.5" customHeight="1" x14ac:dyDescent="0.25">
      <c r="A94" s="89">
        <v>310</v>
      </c>
      <c r="B94" s="89"/>
      <c r="C94" s="89"/>
      <c r="D94" s="105">
        <f t="shared" si="21"/>
        <v>245529</v>
      </c>
      <c r="E94" s="90">
        <f t="shared" ref="E94:N94" si="22">SUM(E95:E95)</f>
        <v>215828</v>
      </c>
      <c r="F94" s="90">
        <f t="shared" si="22"/>
        <v>215828</v>
      </c>
      <c r="G94" s="90">
        <f t="shared" si="22"/>
        <v>0</v>
      </c>
      <c r="H94" s="90">
        <f t="shared" si="22"/>
        <v>0</v>
      </c>
      <c r="I94" s="90">
        <f t="shared" si="22"/>
        <v>0</v>
      </c>
      <c r="J94" s="90">
        <f t="shared" si="22"/>
        <v>0</v>
      </c>
      <c r="K94" s="90">
        <f t="shared" si="22"/>
        <v>0</v>
      </c>
      <c r="L94" s="90">
        <f t="shared" si="22"/>
        <v>245529</v>
      </c>
      <c r="M94" s="90">
        <f t="shared" si="22"/>
        <v>215828</v>
      </c>
      <c r="N94" s="90">
        <f t="shared" si="22"/>
        <v>215828</v>
      </c>
    </row>
    <row r="95" spans="1:14" ht="23.25" customHeight="1" x14ac:dyDescent="0.25">
      <c r="A95" s="91" t="s">
        <v>212</v>
      </c>
      <c r="B95" s="102">
        <v>2070</v>
      </c>
      <c r="C95" s="102">
        <v>2017</v>
      </c>
      <c r="D95" s="103">
        <f t="shared" si="21"/>
        <v>245529</v>
      </c>
      <c r="E95" s="103">
        <f t="shared" ref="E95:F97" si="23">M95</f>
        <v>215828</v>
      </c>
      <c r="F95" s="103">
        <f t="shared" si="23"/>
        <v>215828</v>
      </c>
      <c r="G95" s="103"/>
      <c r="H95" s="103"/>
      <c r="I95" s="103"/>
      <c r="J95" s="103"/>
      <c r="K95" s="103"/>
      <c r="L95" s="103">
        <f>215828+29701</f>
        <v>245529</v>
      </c>
      <c r="M95" s="103">
        <v>215828</v>
      </c>
      <c r="N95" s="103">
        <v>215828</v>
      </c>
    </row>
    <row r="96" spans="1:14" ht="19.5" customHeight="1" x14ac:dyDescent="0.25">
      <c r="A96" s="89">
        <v>340</v>
      </c>
      <c r="B96" s="89"/>
      <c r="C96" s="89"/>
      <c r="D96" s="105">
        <f t="shared" si="21"/>
        <v>1307420</v>
      </c>
      <c r="E96" s="90">
        <f t="shared" si="23"/>
        <v>1216320</v>
      </c>
      <c r="F96" s="90">
        <f t="shared" si="23"/>
        <v>1426320</v>
      </c>
      <c r="G96" s="90">
        <f t="shared" ref="G96:N96" si="24">SUM(G97:G108)</f>
        <v>0</v>
      </c>
      <c r="H96" s="90">
        <f t="shared" si="24"/>
        <v>0</v>
      </c>
      <c r="I96" s="90">
        <f t="shared" si="24"/>
        <v>0</v>
      </c>
      <c r="J96" s="90">
        <f t="shared" si="24"/>
        <v>0</v>
      </c>
      <c r="K96" s="90">
        <f t="shared" si="24"/>
        <v>0</v>
      </c>
      <c r="L96" s="90">
        <f t="shared" si="24"/>
        <v>1307420</v>
      </c>
      <c r="M96" s="90">
        <f t="shared" si="24"/>
        <v>1216320</v>
      </c>
      <c r="N96" s="90">
        <f t="shared" si="24"/>
        <v>1426320</v>
      </c>
    </row>
    <row r="97" spans="1:14" ht="18.75" customHeight="1" x14ac:dyDescent="0.25">
      <c r="A97" s="93" t="s">
        <v>213</v>
      </c>
      <c r="B97" s="102">
        <v>2071</v>
      </c>
      <c r="C97" s="102">
        <v>2017</v>
      </c>
      <c r="D97" s="103">
        <f t="shared" si="21"/>
        <v>5000</v>
      </c>
      <c r="E97" s="103">
        <f t="shared" si="23"/>
        <v>5000</v>
      </c>
      <c r="F97" s="103">
        <f t="shared" si="23"/>
        <v>5000</v>
      </c>
      <c r="G97" s="103"/>
      <c r="H97" s="103"/>
      <c r="I97" s="103"/>
      <c r="J97" s="103"/>
      <c r="K97" s="103"/>
      <c r="L97" s="103">
        <v>5000</v>
      </c>
      <c r="M97" s="103">
        <v>5000</v>
      </c>
      <c r="N97" s="103">
        <v>5000</v>
      </c>
    </row>
    <row r="98" spans="1:14" ht="33.75" customHeight="1" x14ac:dyDescent="0.25">
      <c r="A98" s="91" t="s">
        <v>214</v>
      </c>
      <c r="B98" s="102">
        <v>2072</v>
      </c>
      <c r="C98" s="102">
        <v>2017</v>
      </c>
      <c r="D98" s="103">
        <f t="shared" si="21"/>
        <v>9100</v>
      </c>
      <c r="E98" s="106">
        <f t="shared" ref="E98:E108" si="25">M98</f>
        <v>9100</v>
      </c>
      <c r="F98" s="106">
        <f t="shared" ref="F98:F108" si="26">N98</f>
        <v>9100</v>
      </c>
      <c r="G98" s="103"/>
      <c r="H98" s="103"/>
      <c r="I98" s="103"/>
      <c r="J98" s="103"/>
      <c r="K98" s="103"/>
      <c r="L98" s="103">
        <v>9100</v>
      </c>
      <c r="M98" s="103">
        <v>9100</v>
      </c>
      <c r="N98" s="103">
        <v>9100</v>
      </c>
    </row>
    <row r="99" spans="1:14" ht="22.5" customHeight="1" x14ac:dyDescent="0.25">
      <c r="A99" s="93" t="s">
        <v>215</v>
      </c>
      <c r="B99" s="102">
        <v>2073</v>
      </c>
      <c r="C99" s="102">
        <v>2017</v>
      </c>
      <c r="D99" s="103">
        <f t="shared" si="21"/>
        <v>171190</v>
      </c>
      <c r="E99" s="106">
        <f t="shared" si="25"/>
        <v>121190</v>
      </c>
      <c r="F99" s="106">
        <f t="shared" si="26"/>
        <v>121190</v>
      </c>
      <c r="G99" s="103"/>
      <c r="H99" s="103"/>
      <c r="I99" s="103"/>
      <c r="J99" s="103"/>
      <c r="K99" s="103"/>
      <c r="L99" s="103">
        <f>121190+50000</f>
        <v>171190</v>
      </c>
      <c r="M99" s="103">
        <v>121190</v>
      </c>
      <c r="N99" s="103">
        <v>121190</v>
      </c>
    </row>
    <row r="100" spans="1:14" ht="18.75" customHeight="1" x14ac:dyDescent="0.25">
      <c r="A100" s="93" t="s">
        <v>216</v>
      </c>
      <c r="B100" s="102">
        <v>2074</v>
      </c>
      <c r="C100" s="102">
        <v>2017</v>
      </c>
      <c r="D100" s="103">
        <f t="shared" si="21"/>
        <v>1000</v>
      </c>
      <c r="E100" s="106">
        <f t="shared" si="25"/>
        <v>1000</v>
      </c>
      <c r="F100" s="106">
        <f t="shared" si="26"/>
        <v>1000</v>
      </c>
      <c r="G100" s="103"/>
      <c r="H100" s="103"/>
      <c r="I100" s="103"/>
      <c r="J100" s="103"/>
      <c r="K100" s="103"/>
      <c r="L100" s="103">
        <v>1000</v>
      </c>
      <c r="M100" s="103">
        <v>1000</v>
      </c>
      <c r="N100" s="103">
        <v>1000</v>
      </c>
    </row>
    <row r="101" spans="1:14" ht="19.5" customHeight="1" x14ac:dyDescent="0.25">
      <c r="A101" s="93" t="s">
        <v>217</v>
      </c>
      <c r="B101" s="102">
        <v>2075</v>
      </c>
      <c r="C101" s="102">
        <v>2017</v>
      </c>
      <c r="D101" s="103">
        <f t="shared" si="21"/>
        <v>219300</v>
      </c>
      <c r="E101" s="106">
        <f t="shared" si="25"/>
        <v>219300</v>
      </c>
      <c r="F101" s="106">
        <f t="shared" si="26"/>
        <v>219300</v>
      </c>
      <c r="G101" s="103"/>
      <c r="H101" s="103"/>
      <c r="I101" s="103"/>
      <c r="J101" s="103"/>
      <c r="K101" s="103"/>
      <c r="L101" s="103">
        <v>219300</v>
      </c>
      <c r="M101" s="103">
        <v>219300</v>
      </c>
      <c r="N101" s="103">
        <v>219300</v>
      </c>
    </row>
    <row r="102" spans="1:14" ht="21.75" customHeight="1" x14ac:dyDescent="0.25">
      <c r="A102" s="93" t="s">
        <v>218</v>
      </c>
      <c r="B102" s="102">
        <v>2076</v>
      </c>
      <c r="C102" s="102">
        <v>2017</v>
      </c>
      <c r="D102" s="103">
        <f t="shared" si="21"/>
        <v>22400</v>
      </c>
      <c r="E102" s="106">
        <f t="shared" si="25"/>
        <v>22400</v>
      </c>
      <c r="F102" s="106">
        <f t="shared" si="26"/>
        <v>22400</v>
      </c>
      <c r="G102" s="103"/>
      <c r="H102" s="103"/>
      <c r="I102" s="103"/>
      <c r="J102" s="103"/>
      <c r="K102" s="103"/>
      <c r="L102" s="103">
        <v>22400</v>
      </c>
      <c r="M102" s="103">
        <v>22400</v>
      </c>
      <c r="N102" s="103">
        <v>22400</v>
      </c>
    </row>
    <row r="103" spans="1:14" ht="20.25" customHeight="1" x14ac:dyDescent="0.25">
      <c r="A103" s="93" t="s">
        <v>219</v>
      </c>
      <c r="B103" s="102">
        <v>2077</v>
      </c>
      <c r="C103" s="102">
        <v>2017</v>
      </c>
      <c r="D103" s="103">
        <f t="shared" si="21"/>
        <v>228000</v>
      </c>
      <c r="E103" s="106">
        <f t="shared" si="25"/>
        <v>228000</v>
      </c>
      <c r="F103" s="106">
        <f t="shared" si="26"/>
        <v>228000</v>
      </c>
      <c r="G103" s="103"/>
      <c r="H103" s="103"/>
      <c r="I103" s="103"/>
      <c r="J103" s="103"/>
      <c r="K103" s="103"/>
      <c r="L103" s="103">
        <v>228000</v>
      </c>
      <c r="M103" s="103">
        <v>228000</v>
      </c>
      <c r="N103" s="103">
        <v>228000</v>
      </c>
    </row>
    <row r="104" spans="1:14" ht="19.5" customHeight="1" x14ac:dyDescent="0.25">
      <c r="A104" s="93" t="s">
        <v>56</v>
      </c>
      <c r="B104" s="102">
        <v>2078</v>
      </c>
      <c r="C104" s="102">
        <v>2017</v>
      </c>
      <c r="D104" s="103">
        <f t="shared" si="21"/>
        <v>22000</v>
      </c>
      <c r="E104" s="106">
        <f t="shared" si="25"/>
        <v>20600</v>
      </c>
      <c r="F104" s="106">
        <f t="shared" si="26"/>
        <v>20600</v>
      </c>
      <c r="G104" s="103"/>
      <c r="H104" s="103"/>
      <c r="I104" s="103"/>
      <c r="J104" s="103"/>
      <c r="K104" s="103"/>
      <c r="L104" s="103">
        <f>20600+1400</f>
        <v>22000</v>
      </c>
      <c r="M104" s="103">
        <v>20600</v>
      </c>
      <c r="N104" s="103">
        <v>20600</v>
      </c>
    </row>
    <row r="105" spans="1:14" ht="33.75" customHeight="1" x14ac:dyDescent="0.25">
      <c r="A105" s="93" t="s">
        <v>220</v>
      </c>
      <c r="B105" s="102">
        <v>2079</v>
      </c>
      <c r="C105" s="102">
        <v>2017</v>
      </c>
      <c r="D105" s="103">
        <f t="shared" si="21"/>
        <v>235400</v>
      </c>
      <c r="E105" s="106">
        <f t="shared" si="25"/>
        <v>135400</v>
      </c>
      <c r="F105" s="106">
        <f t="shared" si="26"/>
        <v>435400</v>
      </c>
      <c r="G105" s="103"/>
      <c r="H105" s="103"/>
      <c r="I105" s="103"/>
      <c r="J105" s="103"/>
      <c r="K105" s="103"/>
      <c r="L105" s="103">
        <f>230400+5000</f>
        <v>235400</v>
      </c>
      <c r="M105" s="103">
        <f>130400+5000</f>
        <v>135400</v>
      </c>
      <c r="N105" s="103">
        <f>430400+5000</f>
        <v>435400</v>
      </c>
    </row>
    <row r="106" spans="1:14" ht="23.25" customHeight="1" x14ac:dyDescent="0.25">
      <c r="A106" s="93" t="s">
        <v>221</v>
      </c>
      <c r="B106" s="102">
        <v>2080</v>
      </c>
      <c r="C106" s="102">
        <v>2017</v>
      </c>
      <c r="D106" s="103">
        <f t="shared" si="21"/>
        <v>258030</v>
      </c>
      <c r="E106" s="106">
        <f t="shared" si="25"/>
        <v>228330</v>
      </c>
      <c r="F106" s="106">
        <f t="shared" si="26"/>
        <v>228330</v>
      </c>
      <c r="G106" s="103"/>
      <c r="H106" s="103"/>
      <c r="I106" s="103"/>
      <c r="J106" s="103"/>
      <c r="K106" s="103"/>
      <c r="L106" s="103">
        <f>227730+29700+600</f>
        <v>258030</v>
      </c>
      <c r="M106" s="103">
        <f>227730+600</f>
        <v>228330</v>
      </c>
      <c r="N106" s="103">
        <f>227730+600</f>
        <v>228330</v>
      </c>
    </row>
    <row r="107" spans="1:14" ht="30" customHeight="1" x14ac:dyDescent="0.25">
      <c r="A107" s="91" t="s">
        <v>222</v>
      </c>
      <c r="B107" s="102">
        <v>2081</v>
      </c>
      <c r="C107" s="102">
        <v>2017</v>
      </c>
      <c r="D107" s="103">
        <f t="shared" si="21"/>
        <v>136000</v>
      </c>
      <c r="E107" s="106">
        <f t="shared" si="25"/>
        <v>136000</v>
      </c>
      <c r="F107" s="106">
        <f t="shared" si="26"/>
        <v>136000</v>
      </c>
      <c r="G107" s="103"/>
      <c r="H107" s="103"/>
      <c r="I107" s="103"/>
      <c r="J107" s="103"/>
      <c r="K107" s="103"/>
      <c r="L107" s="103">
        <v>136000</v>
      </c>
      <c r="M107" s="103">
        <v>136000</v>
      </c>
      <c r="N107" s="103">
        <v>136000</v>
      </c>
    </row>
    <row r="108" spans="1:14" ht="33" customHeight="1" x14ac:dyDescent="0.25">
      <c r="A108" s="93" t="s">
        <v>223</v>
      </c>
      <c r="B108" s="102">
        <v>2082</v>
      </c>
      <c r="C108" s="102">
        <v>2017</v>
      </c>
      <c r="D108" s="103">
        <f t="shared" si="21"/>
        <v>0</v>
      </c>
      <c r="E108" s="106">
        <f t="shared" si="25"/>
        <v>90000</v>
      </c>
      <c r="F108" s="106">
        <f t="shared" si="26"/>
        <v>0</v>
      </c>
      <c r="G108" s="103"/>
      <c r="H108" s="103"/>
      <c r="I108" s="103"/>
      <c r="J108" s="103"/>
      <c r="K108" s="103"/>
      <c r="L108" s="103">
        <v>0</v>
      </c>
      <c r="M108" s="103">
        <v>90000</v>
      </c>
      <c r="N108" s="103">
        <f t="shared" ref="N108" si="27">Q108+T108+W108+Z108</f>
        <v>0</v>
      </c>
    </row>
    <row r="111" spans="1:14" s="108" customFormat="1" ht="23.25" customHeight="1" x14ac:dyDescent="0.3">
      <c r="A111" s="107" t="s">
        <v>74</v>
      </c>
      <c r="C111" s="109"/>
      <c r="D111" s="110"/>
      <c r="E111" s="111"/>
      <c r="F111" s="112"/>
      <c r="H111" s="109" t="s">
        <v>124</v>
      </c>
      <c r="L111" s="113"/>
    </row>
    <row r="112" spans="1:14" s="108" customFormat="1" ht="23.25" customHeight="1" x14ac:dyDescent="0.3">
      <c r="A112" s="107"/>
      <c r="C112" s="109"/>
      <c r="D112" s="123"/>
      <c r="E112" s="124"/>
      <c r="F112" s="112"/>
      <c r="H112" s="109"/>
      <c r="L112" s="113"/>
    </row>
    <row r="113" spans="1:12" s="108" customFormat="1" ht="23.25" customHeight="1" x14ac:dyDescent="0.3">
      <c r="A113" s="107" t="s">
        <v>239</v>
      </c>
      <c r="C113" s="109"/>
      <c r="D113" s="110"/>
      <c r="E113" s="111"/>
      <c r="F113" s="112"/>
      <c r="H113" s="109" t="s">
        <v>142</v>
      </c>
      <c r="L113" s="113"/>
    </row>
    <row r="114" spans="1:12" s="119" customFormat="1" ht="23.25" customHeight="1" x14ac:dyDescent="0.4">
      <c r="A114" s="114"/>
      <c r="B114" s="115"/>
      <c r="C114" s="116"/>
      <c r="D114" s="116"/>
      <c r="E114" s="117"/>
      <c r="F114" s="118"/>
    </row>
    <row r="115" spans="1:12" s="119" customFormat="1" ht="18.75" x14ac:dyDescent="0.3">
      <c r="A115" s="120" t="s">
        <v>237</v>
      </c>
      <c r="C115" s="118"/>
      <c r="D115" s="118"/>
      <c r="E115" s="121"/>
      <c r="F115" s="118"/>
      <c r="L115" s="118"/>
    </row>
    <row r="116" spans="1:12" s="119" customFormat="1" ht="18.75" x14ac:dyDescent="0.3">
      <c r="A116" s="122" t="s">
        <v>238</v>
      </c>
      <c r="C116" s="118"/>
      <c r="D116" s="118"/>
      <c r="E116" s="121"/>
      <c r="F116" s="118"/>
    </row>
    <row r="117" spans="1:12" s="119" customFormat="1" ht="18.75" x14ac:dyDescent="0.3">
      <c r="A117" s="157"/>
      <c r="B117" s="120"/>
      <c r="C117" s="118"/>
      <c r="D117" s="118"/>
      <c r="E117" s="121"/>
      <c r="F117" s="118"/>
    </row>
    <row r="118" spans="1:12" s="119" customFormat="1" ht="18.75" x14ac:dyDescent="0.3">
      <c r="A118" s="157"/>
      <c r="B118" s="120"/>
      <c r="C118" s="118"/>
      <c r="D118" s="118"/>
      <c r="E118" s="121"/>
      <c r="F118" s="118"/>
    </row>
  </sheetData>
  <mergeCells count="42">
    <mergeCell ref="K21:L21"/>
    <mergeCell ref="G22:H22"/>
    <mergeCell ref="K22:L22"/>
    <mergeCell ref="K23:L23"/>
    <mergeCell ref="G24:H24"/>
    <mergeCell ref="K24:L24"/>
    <mergeCell ref="G20:H20"/>
    <mergeCell ref="K20:L20"/>
    <mergeCell ref="A1:N1"/>
    <mergeCell ref="D8:D10"/>
    <mergeCell ref="E8:E10"/>
    <mergeCell ref="F8:F10"/>
    <mergeCell ref="I8:I10"/>
    <mergeCell ref="J8:J10"/>
    <mergeCell ref="H8:H10"/>
    <mergeCell ref="K8:L10"/>
    <mergeCell ref="G17:H17"/>
    <mergeCell ref="K17:L17"/>
    <mergeCell ref="G18:H18"/>
    <mergeCell ref="K18:L18"/>
    <mergeCell ref="G14:H14"/>
    <mergeCell ref="K14:L14"/>
    <mergeCell ref="G16:H16"/>
    <mergeCell ref="K16:L16"/>
    <mergeCell ref="G11:H11"/>
    <mergeCell ref="K11:L11"/>
    <mergeCell ref="G12:H12"/>
    <mergeCell ref="K12:L12"/>
    <mergeCell ref="G13:H13"/>
    <mergeCell ref="K13:L13"/>
    <mergeCell ref="A3:A10"/>
    <mergeCell ref="B3:B10"/>
    <mergeCell ref="C3:C10"/>
    <mergeCell ref="D3:N3"/>
    <mergeCell ref="D4:N4"/>
    <mergeCell ref="D5:G7"/>
    <mergeCell ref="H5:N5"/>
    <mergeCell ref="H6:K6"/>
    <mergeCell ref="H7:K7"/>
    <mergeCell ref="L6:N7"/>
    <mergeCell ref="M8:M10"/>
    <mergeCell ref="N8:N10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F41" sqref="F41"/>
    </sheetView>
  </sheetViews>
  <sheetFormatPr defaultRowHeight="15" x14ac:dyDescent="0.25"/>
  <cols>
    <col min="1" max="1" width="43.7109375" style="11" customWidth="1"/>
    <col min="2" max="2" width="10.5703125" style="28" customWidth="1"/>
    <col min="3" max="3" width="10.5703125" style="26" customWidth="1"/>
    <col min="4" max="4" width="14.42578125" style="26" hidden="1" customWidth="1"/>
    <col min="5" max="5" width="16.85546875" style="26" customWidth="1"/>
    <col min="6" max="6" width="15" style="11" customWidth="1"/>
    <col min="7" max="7" width="14.5703125" style="11" customWidth="1"/>
    <col min="8" max="8" width="14" style="11" customWidth="1"/>
    <col min="9" max="16384" width="9.140625" style="11"/>
  </cols>
  <sheetData>
    <row r="1" spans="1:10" ht="30.75" customHeight="1" x14ac:dyDescent="0.25">
      <c r="A1" s="185" t="s">
        <v>60</v>
      </c>
      <c r="B1" s="185"/>
      <c r="C1" s="185"/>
      <c r="D1" s="185"/>
      <c r="E1" s="185"/>
      <c r="F1" s="185"/>
      <c r="G1" s="185"/>
      <c r="H1" s="185"/>
    </row>
    <row r="3" spans="1:10" ht="14.25" customHeight="1" x14ac:dyDescent="0.25">
      <c r="A3" s="226" t="s">
        <v>38</v>
      </c>
      <c r="B3" s="226" t="s">
        <v>80</v>
      </c>
      <c r="C3" s="226" t="s">
        <v>40</v>
      </c>
      <c r="D3" s="226" t="s">
        <v>61</v>
      </c>
      <c r="E3" s="229" t="s">
        <v>101</v>
      </c>
      <c r="F3" s="223" t="s">
        <v>39</v>
      </c>
      <c r="G3" s="224"/>
      <c r="H3" s="225"/>
    </row>
    <row r="4" spans="1:10" ht="17.25" customHeight="1" x14ac:dyDescent="0.25">
      <c r="A4" s="227"/>
      <c r="B4" s="227"/>
      <c r="C4" s="227"/>
      <c r="D4" s="228"/>
      <c r="E4" s="229"/>
      <c r="F4" s="52" t="s">
        <v>102</v>
      </c>
      <c r="G4" s="52" t="s">
        <v>103</v>
      </c>
      <c r="H4" s="52" t="s">
        <v>104</v>
      </c>
    </row>
    <row r="5" spans="1:10" s="24" customFormat="1" ht="14.25" x14ac:dyDescent="0.25">
      <c r="A5" s="18">
        <v>1</v>
      </c>
      <c r="B5" s="32">
        <v>2</v>
      </c>
      <c r="C5" s="18">
        <v>3</v>
      </c>
      <c r="D5" s="18">
        <v>3</v>
      </c>
      <c r="E5" s="18">
        <v>4</v>
      </c>
      <c r="F5" s="49">
        <v>5</v>
      </c>
      <c r="G5" s="49">
        <v>6</v>
      </c>
      <c r="H5" s="49">
        <v>7</v>
      </c>
    </row>
    <row r="6" spans="1:10" ht="39" customHeight="1" x14ac:dyDescent="0.25">
      <c r="A6" s="221" t="s">
        <v>73</v>
      </c>
      <c r="B6" s="222"/>
      <c r="C6" s="222"/>
      <c r="D6" s="222"/>
      <c r="E6" s="222"/>
      <c r="F6" s="222"/>
      <c r="G6" s="222"/>
      <c r="H6" s="222"/>
    </row>
    <row r="7" spans="1:10" ht="30" x14ac:dyDescent="0.25">
      <c r="A7" s="22" t="s">
        <v>62</v>
      </c>
      <c r="B7" s="32" t="s">
        <v>41</v>
      </c>
      <c r="C7" s="18" t="s">
        <v>41</v>
      </c>
      <c r="D7" s="20"/>
      <c r="E7" s="64">
        <f>F7+G7+H7</f>
        <v>0</v>
      </c>
      <c r="F7" s="66">
        <v>0</v>
      </c>
      <c r="G7" s="66">
        <v>0</v>
      </c>
      <c r="H7" s="66">
        <v>0</v>
      </c>
    </row>
    <row r="8" spans="1:10" x14ac:dyDescent="0.25">
      <c r="A8" s="23" t="s">
        <v>64</v>
      </c>
      <c r="B8" s="32" t="s">
        <v>41</v>
      </c>
      <c r="C8" s="18" t="s">
        <v>41</v>
      </c>
      <c r="D8" s="20"/>
      <c r="E8" s="63">
        <f t="shared" ref="E8:E33" si="0">F8+G8+H8</f>
        <v>112784900</v>
      </c>
      <c r="F8" s="67">
        <f>37215760+1210000</f>
        <v>38425760</v>
      </c>
      <c r="G8" s="67">
        <v>37179370</v>
      </c>
      <c r="H8" s="67">
        <v>37179770</v>
      </c>
    </row>
    <row r="9" spans="1:10" x14ac:dyDescent="0.25">
      <c r="A9" s="23" t="s">
        <v>42</v>
      </c>
      <c r="B9" s="32" t="s">
        <v>41</v>
      </c>
      <c r="C9" s="18" t="s">
        <v>41</v>
      </c>
      <c r="D9" s="20"/>
      <c r="E9" s="63">
        <f t="shared" si="0"/>
        <v>112784900</v>
      </c>
      <c r="F9" s="67">
        <f>F10+F14+F30</f>
        <v>38425760</v>
      </c>
      <c r="G9" s="67">
        <f t="shared" ref="G9:H9" si="1">G10+G14+G30</f>
        <v>37179370</v>
      </c>
      <c r="H9" s="67">
        <f t="shared" si="1"/>
        <v>37179770</v>
      </c>
    </row>
    <row r="10" spans="1:10" s="19" customFormat="1" ht="29.25" x14ac:dyDescent="0.25">
      <c r="A10" s="42" t="s">
        <v>83</v>
      </c>
      <c r="B10" s="42">
        <v>110</v>
      </c>
      <c r="C10" s="42" t="s">
        <v>41</v>
      </c>
      <c r="D10" s="42"/>
      <c r="E10" s="65">
        <f t="shared" si="0"/>
        <v>100567300</v>
      </c>
      <c r="F10" s="73">
        <f>SUM(F11:F13)</f>
        <v>34309300</v>
      </c>
      <c r="G10" s="73">
        <f t="shared" ref="G10:H10" si="2">SUM(G11:G13)</f>
        <v>33129000</v>
      </c>
      <c r="H10" s="73">
        <f t="shared" si="2"/>
        <v>33129000</v>
      </c>
      <c r="I10" s="11"/>
      <c r="J10" s="11"/>
    </row>
    <row r="11" spans="1:10" x14ac:dyDescent="0.25">
      <c r="A11" s="22" t="s">
        <v>43</v>
      </c>
      <c r="B11" s="32">
        <v>111</v>
      </c>
      <c r="C11" s="18">
        <v>211</v>
      </c>
      <c r="D11" s="20"/>
      <c r="E11" s="64">
        <f t="shared" si="0"/>
        <v>77278400</v>
      </c>
      <c r="F11" s="66">
        <f>25459000+901400</f>
        <v>26360400</v>
      </c>
      <c r="G11" s="66">
        <v>25459000</v>
      </c>
      <c r="H11" s="66">
        <v>25459000</v>
      </c>
    </row>
    <row r="12" spans="1:10" x14ac:dyDescent="0.25">
      <c r="A12" s="22" t="s">
        <v>44</v>
      </c>
      <c r="B12" s="32">
        <v>112</v>
      </c>
      <c r="C12" s="18">
        <v>212</v>
      </c>
      <c r="D12" s="20"/>
      <c r="E12" s="64">
        <f t="shared" si="0"/>
        <v>102700</v>
      </c>
      <c r="F12" s="66">
        <f>32000+6700</f>
        <v>38700</v>
      </c>
      <c r="G12" s="66">
        <v>32000</v>
      </c>
      <c r="H12" s="66">
        <v>32000</v>
      </c>
    </row>
    <row r="13" spans="1:10" ht="28.5" customHeight="1" x14ac:dyDescent="0.25">
      <c r="A13" s="22" t="s">
        <v>45</v>
      </c>
      <c r="B13" s="32">
        <v>119</v>
      </c>
      <c r="C13" s="18">
        <v>213</v>
      </c>
      <c r="D13" s="20"/>
      <c r="E13" s="64">
        <f t="shared" si="0"/>
        <v>23186200</v>
      </c>
      <c r="F13" s="66">
        <f>7638000+272200</f>
        <v>7910200</v>
      </c>
      <c r="G13" s="66">
        <v>7638000</v>
      </c>
      <c r="H13" s="66">
        <v>7638000</v>
      </c>
    </row>
    <row r="14" spans="1:10" s="19" customFormat="1" ht="57.75" x14ac:dyDescent="0.25">
      <c r="A14" s="42" t="s">
        <v>82</v>
      </c>
      <c r="B14" s="42">
        <v>244</v>
      </c>
      <c r="C14" s="42" t="s">
        <v>41</v>
      </c>
      <c r="D14" s="43"/>
      <c r="E14" s="65">
        <f t="shared" si="0"/>
        <v>11044600</v>
      </c>
      <c r="F14" s="73">
        <f>F15+F22+F23</f>
        <v>3725460</v>
      </c>
      <c r="G14" s="73">
        <f t="shared" ref="G14:H14" si="3">G15+G22+G23</f>
        <v>3659370</v>
      </c>
      <c r="H14" s="73">
        <f t="shared" si="3"/>
        <v>3659770</v>
      </c>
      <c r="I14" s="11"/>
      <c r="J14" s="11"/>
    </row>
    <row r="15" spans="1:10" x14ac:dyDescent="0.25">
      <c r="A15" s="23" t="s">
        <v>65</v>
      </c>
      <c r="B15" s="32">
        <v>244</v>
      </c>
      <c r="C15" s="18">
        <v>220</v>
      </c>
      <c r="D15" s="20"/>
      <c r="E15" s="63">
        <f t="shared" si="0"/>
        <v>9439900</v>
      </c>
      <c r="F15" s="67">
        <f>SUM(F16:F21)</f>
        <v>3170760</v>
      </c>
      <c r="G15" s="67">
        <f t="shared" ref="G15:H15" si="4">SUM(G16:G21)</f>
        <v>3134370</v>
      </c>
      <c r="H15" s="67">
        <f t="shared" si="4"/>
        <v>3134770</v>
      </c>
    </row>
    <row r="16" spans="1:10" x14ac:dyDescent="0.25">
      <c r="A16" s="22" t="s">
        <v>46</v>
      </c>
      <c r="B16" s="32">
        <v>244</v>
      </c>
      <c r="C16" s="18">
        <v>221</v>
      </c>
      <c r="D16" s="20"/>
      <c r="E16" s="64">
        <f t="shared" si="0"/>
        <v>915000</v>
      </c>
      <c r="F16" s="66">
        <v>305000</v>
      </c>
      <c r="G16" s="66">
        <v>305000</v>
      </c>
      <c r="H16" s="66">
        <v>305000</v>
      </c>
      <c r="I16" s="40"/>
      <c r="J16" s="40"/>
    </row>
    <row r="17" spans="1:10" x14ac:dyDescent="0.25">
      <c r="A17" s="22" t="s">
        <v>47</v>
      </c>
      <c r="B17" s="32">
        <v>244</v>
      </c>
      <c r="C17" s="18">
        <v>222</v>
      </c>
      <c r="D17" s="20"/>
      <c r="E17" s="64">
        <f t="shared" si="0"/>
        <v>477000</v>
      </c>
      <c r="F17" s="76">
        <v>159000</v>
      </c>
      <c r="G17" s="76">
        <v>159000</v>
      </c>
      <c r="H17" s="76">
        <v>159000</v>
      </c>
      <c r="I17" s="40"/>
      <c r="J17" s="40"/>
    </row>
    <row r="18" spans="1:10" x14ac:dyDescent="0.25">
      <c r="A18" s="22" t="s">
        <v>48</v>
      </c>
      <c r="B18" s="32">
        <v>244</v>
      </c>
      <c r="C18" s="18">
        <v>223</v>
      </c>
      <c r="D18" s="20"/>
      <c r="E18" s="64">
        <f t="shared" si="0"/>
        <v>3370210</v>
      </c>
      <c r="F18" s="66">
        <v>1140070</v>
      </c>
      <c r="G18" s="66">
        <v>1115070</v>
      </c>
      <c r="H18" s="66">
        <v>1115070</v>
      </c>
    </row>
    <row r="19" spans="1:10" x14ac:dyDescent="0.25">
      <c r="A19" s="22" t="s">
        <v>49</v>
      </c>
      <c r="B19" s="32">
        <v>244</v>
      </c>
      <c r="C19" s="18">
        <v>224</v>
      </c>
      <c r="D19" s="20"/>
      <c r="E19" s="64">
        <f t="shared" si="0"/>
        <v>0</v>
      </c>
      <c r="F19" s="66">
        <v>0</v>
      </c>
      <c r="G19" s="66">
        <v>0</v>
      </c>
      <c r="H19" s="66">
        <v>0</v>
      </c>
    </row>
    <row r="20" spans="1:10" ht="30" customHeight="1" x14ac:dyDescent="0.25">
      <c r="A20" s="22" t="s">
        <v>50</v>
      </c>
      <c r="B20" s="32">
        <v>244</v>
      </c>
      <c r="C20" s="18">
        <v>225</v>
      </c>
      <c r="D20" s="20"/>
      <c r="E20" s="64">
        <f t="shared" si="0"/>
        <v>1947000</v>
      </c>
      <c r="F20" s="66">
        <v>649000</v>
      </c>
      <c r="G20" s="66">
        <v>649000</v>
      </c>
      <c r="H20" s="66">
        <v>649000</v>
      </c>
    </row>
    <row r="21" spans="1:10" x14ac:dyDescent="0.25">
      <c r="A21" s="22" t="s">
        <v>51</v>
      </c>
      <c r="B21" s="32">
        <v>244</v>
      </c>
      <c r="C21" s="18">
        <v>226</v>
      </c>
      <c r="D21" s="20"/>
      <c r="E21" s="64">
        <f t="shared" si="0"/>
        <v>2730690</v>
      </c>
      <c r="F21" s="66">
        <v>917690</v>
      </c>
      <c r="G21" s="76">
        <v>906300</v>
      </c>
      <c r="H21" s="76">
        <v>906700</v>
      </c>
    </row>
    <row r="22" spans="1:10" s="19" customFormat="1" x14ac:dyDescent="0.25">
      <c r="A22" s="23" t="s">
        <v>52</v>
      </c>
      <c r="B22" s="37">
        <v>244</v>
      </c>
      <c r="C22" s="37">
        <v>290</v>
      </c>
      <c r="D22" s="37"/>
      <c r="E22" s="63">
        <f t="shared" si="0"/>
        <v>0</v>
      </c>
      <c r="F22" s="72">
        <v>0</v>
      </c>
      <c r="G22" s="72">
        <v>0</v>
      </c>
      <c r="H22" s="72">
        <v>0</v>
      </c>
      <c r="I22" s="44"/>
      <c r="J22" s="45"/>
    </row>
    <row r="23" spans="1:10" x14ac:dyDescent="0.25">
      <c r="A23" s="23" t="s">
        <v>53</v>
      </c>
      <c r="B23" s="32">
        <v>244</v>
      </c>
      <c r="C23" s="18">
        <v>300</v>
      </c>
      <c r="D23" s="25"/>
      <c r="E23" s="63">
        <f t="shared" si="0"/>
        <v>1604700</v>
      </c>
      <c r="F23" s="67">
        <f>F24+F25</f>
        <v>554700</v>
      </c>
      <c r="G23" s="67">
        <f t="shared" ref="G23:H23" si="5">G24+G25</f>
        <v>525000</v>
      </c>
      <c r="H23" s="67">
        <f t="shared" si="5"/>
        <v>525000</v>
      </c>
    </row>
    <row r="24" spans="1:10" x14ac:dyDescent="0.25">
      <c r="A24" s="22" t="s">
        <v>54</v>
      </c>
      <c r="B24" s="32">
        <v>244</v>
      </c>
      <c r="C24" s="18">
        <v>310</v>
      </c>
      <c r="D24" s="25"/>
      <c r="E24" s="64">
        <f t="shared" si="0"/>
        <v>0</v>
      </c>
      <c r="F24" s="66">
        <v>0</v>
      </c>
      <c r="G24" s="66">
        <v>0</v>
      </c>
      <c r="H24" s="66">
        <v>0</v>
      </c>
    </row>
    <row r="25" spans="1:10" ht="45" x14ac:dyDescent="0.25">
      <c r="A25" s="22" t="s">
        <v>55</v>
      </c>
      <c r="B25" s="32">
        <v>244</v>
      </c>
      <c r="C25" s="18">
        <v>340</v>
      </c>
      <c r="D25" s="25"/>
      <c r="E25" s="64">
        <f t="shared" si="0"/>
        <v>1604700</v>
      </c>
      <c r="F25" s="66">
        <f>SUM(F26:F29)</f>
        <v>554700</v>
      </c>
      <c r="G25" s="66">
        <f t="shared" ref="G25:H25" si="6">SUM(G26:G29)</f>
        <v>525000</v>
      </c>
      <c r="H25" s="66">
        <f t="shared" si="6"/>
        <v>525000</v>
      </c>
    </row>
    <row r="26" spans="1:10" ht="30" x14ac:dyDescent="0.25">
      <c r="A26" s="22" t="s">
        <v>59</v>
      </c>
      <c r="B26" s="32">
        <v>244</v>
      </c>
      <c r="C26" s="18">
        <v>341</v>
      </c>
      <c r="D26" s="25"/>
      <c r="E26" s="64">
        <f t="shared" si="0"/>
        <v>0</v>
      </c>
      <c r="F26" s="66">
        <v>0</v>
      </c>
      <c r="G26" s="66">
        <v>0</v>
      </c>
      <c r="H26" s="66">
        <v>0</v>
      </c>
    </row>
    <row r="27" spans="1:10" x14ac:dyDescent="0.25">
      <c r="A27" s="22" t="s">
        <v>56</v>
      </c>
      <c r="B27" s="32">
        <v>244</v>
      </c>
      <c r="C27" s="18">
        <v>342</v>
      </c>
      <c r="D27" s="25"/>
      <c r="E27" s="64">
        <f t="shared" si="0"/>
        <v>0</v>
      </c>
      <c r="F27" s="66">
        <v>0</v>
      </c>
      <c r="G27" s="66">
        <v>0</v>
      </c>
      <c r="H27" s="66">
        <v>0</v>
      </c>
    </row>
    <row r="28" spans="1:10" x14ac:dyDescent="0.25">
      <c r="A28" s="22" t="s">
        <v>57</v>
      </c>
      <c r="B28" s="32">
        <v>244</v>
      </c>
      <c r="C28" s="18">
        <v>343</v>
      </c>
      <c r="D28" s="25"/>
      <c r="E28" s="64">
        <f t="shared" si="0"/>
        <v>15000</v>
      </c>
      <c r="F28" s="66">
        <v>5000</v>
      </c>
      <c r="G28" s="66">
        <v>5000</v>
      </c>
      <c r="H28" s="66">
        <v>5000</v>
      </c>
    </row>
    <row r="29" spans="1:10" ht="30" x14ac:dyDescent="0.25">
      <c r="A29" s="22" t="s">
        <v>58</v>
      </c>
      <c r="B29" s="32">
        <v>244</v>
      </c>
      <c r="C29" s="18">
        <v>344</v>
      </c>
      <c r="D29" s="25"/>
      <c r="E29" s="64">
        <f t="shared" si="0"/>
        <v>1589700</v>
      </c>
      <c r="F29" s="66">
        <f>520000+29700</f>
        <v>549700</v>
      </c>
      <c r="G29" s="66">
        <v>520000</v>
      </c>
      <c r="H29" s="66">
        <v>520000</v>
      </c>
    </row>
    <row r="30" spans="1:10" s="19" customFormat="1" ht="28.5" x14ac:dyDescent="0.25">
      <c r="A30" s="42" t="s">
        <v>84</v>
      </c>
      <c r="B30" s="42">
        <v>850</v>
      </c>
      <c r="C30" s="42" t="s">
        <v>41</v>
      </c>
      <c r="D30" s="42"/>
      <c r="E30" s="65">
        <f t="shared" si="0"/>
        <v>1173000</v>
      </c>
      <c r="F30" s="65">
        <f>SUM(F31:F32)</f>
        <v>391000</v>
      </c>
      <c r="G30" s="65">
        <f t="shared" ref="G30:H30" si="7">SUM(G31:G32)</f>
        <v>391000</v>
      </c>
      <c r="H30" s="65">
        <f t="shared" si="7"/>
        <v>391000</v>
      </c>
      <c r="I30" s="44"/>
      <c r="J30" s="45"/>
    </row>
    <row r="31" spans="1:10" s="19" customFormat="1" ht="30" x14ac:dyDescent="0.25">
      <c r="A31" s="22" t="s">
        <v>81</v>
      </c>
      <c r="B31" s="32">
        <v>851</v>
      </c>
      <c r="C31" s="32">
        <v>290</v>
      </c>
      <c r="D31" s="32"/>
      <c r="E31" s="63">
        <f t="shared" si="0"/>
        <v>1143000</v>
      </c>
      <c r="F31" s="63">
        <v>381000</v>
      </c>
      <c r="G31" s="63">
        <v>381000</v>
      </c>
      <c r="H31" s="63">
        <v>381000</v>
      </c>
      <c r="I31" s="34"/>
      <c r="J31" s="35"/>
    </row>
    <row r="32" spans="1:10" s="19" customFormat="1" x14ac:dyDescent="0.25">
      <c r="A32" s="22" t="s">
        <v>78</v>
      </c>
      <c r="B32" s="32">
        <v>852</v>
      </c>
      <c r="C32" s="32">
        <v>290</v>
      </c>
      <c r="D32" s="32"/>
      <c r="E32" s="63">
        <f t="shared" si="0"/>
        <v>30000</v>
      </c>
      <c r="F32" s="63">
        <v>10000</v>
      </c>
      <c r="G32" s="63">
        <v>10000</v>
      </c>
      <c r="H32" s="63">
        <v>10000</v>
      </c>
      <c r="I32" s="34"/>
      <c r="J32" s="35"/>
    </row>
    <row r="33" spans="1:10" x14ac:dyDescent="0.25">
      <c r="A33" s="22" t="s">
        <v>63</v>
      </c>
      <c r="B33" s="32" t="s">
        <v>41</v>
      </c>
      <c r="C33" s="18" t="s">
        <v>41</v>
      </c>
      <c r="D33" s="25"/>
      <c r="E33" s="64">
        <f t="shared" si="0"/>
        <v>0</v>
      </c>
      <c r="F33" s="66">
        <v>0</v>
      </c>
      <c r="G33" s="66">
        <v>0</v>
      </c>
      <c r="H33" s="66">
        <v>0</v>
      </c>
    </row>
    <row r="34" spans="1:10" ht="20.25" customHeight="1" x14ac:dyDescent="0.25">
      <c r="A34" s="219" t="s">
        <v>66</v>
      </c>
      <c r="B34" s="220"/>
      <c r="C34" s="220"/>
      <c r="D34" s="220"/>
      <c r="E34" s="220"/>
      <c r="F34" s="220"/>
      <c r="G34" s="220"/>
      <c r="H34" s="220"/>
    </row>
    <row r="35" spans="1:10" ht="30" x14ac:dyDescent="0.25">
      <c r="A35" s="22" t="s">
        <v>62</v>
      </c>
      <c r="B35" s="159" t="s">
        <v>41</v>
      </c>
      <c r="C35" s="159" t="s">
        <v>41</v>
      </c>
      <c r="D35" s="20"/>
      <c r="E35" s="64">
        <f>F35+G35+H35</f>
        <v>0</v>
      </c>
      <c r="F35" s="66">
        <v>0</v>
      </c>
      <c r="G35" s="66">
        <v>0</v>
      </c>
      <c r="H35" s="66">
        <v>0</v>
      </c>
    </row>
    <row r="36" spans="1:10" x14ac:dyDescent="0.25">
      <c r="A36" s="23" t="s">
        <v>64</v>
      </c>
      <c r="B36" s="159" t="s">
        <v>41</v>
      </c>
      <c r="C36" s="159" t="s">
        <v>41</v>
      </c>
      <c r="D36" s="20"/>
      <c r="E36" s="63">
        <f t="shared" ref="E36:E61" si="8">F36+G36+H36</f>
        <v>112784900</v>
      </c>
      <c r="F36" s="67">
        <f>37215760+1210000</f>
        <v>38425760</v>
      </c>
      <c r="G36" s="67">
        <v>37179370</v>
      </c>
      <c r="H36" s="67">
        <v>37179770</v>
      </c>
    </row>
    <row r="37" spans="1:10" x14ac:dyDescent="0.25">
      <c r="A37" s="23" t="s">
        <v>42</v>
      </c>
      <c r="B37" s="159" t="s">
        <v>41</v>
      </c>
      <c r="C37" s="159" t="s">
        <v>41</v>
      </c>
      <c r="D37" s="20"/>
      <c r="E37" s="63">
        <f t="shared" si="8"/>
        <v>112784900</v>
      </c>
      <c r="F37" s="67">
        <f>F38+F42+F58</f>
        <v>38425760</v>
      </c>
      <c r="G37" s="67">
        <f t="shared" ref="G37:H37" si="9">G38+G42+G58</f>
        <v>37179370</v>
      </c>
      <c r="H37" s="67">
        <f t="shared" si="9"/>
        <v>37179770</v>
      </c>
    </row>
    <row r="38" spans="1:10" s="19" customFormat="1" ht="29.25" x14ac:dyDescent="0.25">
      <c r="A38" s="42" t="s">
        <v>83</v>
      </c>
      <c r="B38" s="42">
        <v>110</v>
      </c>
      <c r="C38" s="42" t="s">
        <v>41</v>
      </c>
      <c r="D38" s="42"/>
      <c r="E38" s="65">
        <f t="shared" si="8"/>
        <v>100567300</v>
      </c>
      <c r="F38" s="73">
        <f>SUM(F39:F41)</f>
        <v>34309300</v>
      </c>
      <c r="G38" s="73">
        <f t="shared" ref="G38:H38" si="10">SUM(G39:G41)</f>
        <v>33129000</v>
      </c>
      <c r="H38" s="73">
        <f t="shared" si="10"/>
        <v>33129000</v>
      </c>
      <c r="I38" s="11"/>
      <c r="J38" s="11"/>
    </row>
    <row r="39" spans="1:10" x14ac:dyDescent="0.25">
      <c r="A39" s="22" t="s">
        <v>43</v>
      </c>
      <c r="B39" s="159">
        <v>111</v>
      </c>
      <c r="C39" s="159">
        <v>211</v>
      </c>
      <c r="D39" s="20"/>
      <c r="E39" s="64">
        <f t="shared" si="8"/>
        <v>77278400</v>
      </c>
      <c r="F39" s="66">
        <f>25459000+901400</f>
        <v>26360400</v>
      </c>
      <c r="G39" s="66">
        <v>25459000</v>
      </c>
      <c r="H39" s="66">
        <v>25459000</v>
      </c>
    </row>
    <row r="40" spans="1:10" x14ac:dyDescent="0.25">
      <c r="A40" s="22" t="s">
        <v>44</v>
      </c>
      <c r="B40" s="159">
        <v>112</v>
      </c>
      <c r="C40" s="159">
        <v>212</v>
      </c>
      <c r="D40" s="20"/>
      <c r="E40" s="64">
        <f t="shared" si="8"/>
        <v>102700</v>
      </c>
      <c r="F40" s="66">
        <f>32000+6700</f>
        <v>38700</v>
      </c>
      <c r="G40" s="66">
        <v>32000</v>
      </c>
      <c r="H40" s="66">
        <v>32000</v>
      </c>
    </row>
    <row r="41" spans="1:10" ht="28.5" customHeight="1" x14ac:dyDescent="0.25">
      <c r="A41" s="22" t="s">
        <v>45</v>
      </c>
      <c r="B41" s="159">
        <v>119</v>
      </c>
      <c r="C41" s="159">
        <v>213</v>
      </c>
      <c r="D41" s="20"/>
      <c r="E41" s="64">
        <f t="shared" si="8"/>
        <v>23186200</v>
      </c>
      <c r="F41" s="66">
        <f>7638000+272200</f>
        <v>7910200</v>
      </c>
      <c r="G41" s="66">
        <v>7638000</v>
      </c>
      <c r="H41" s="66">
        <v>7638000</v>
      </c>
    </row>
    <row r="42" spans="1:10" s="19" customFormat="1" ht="57.75" x14ac:dyDescent="0.25">
      <c r="A42" s="42" t="s">
        <v>82</v>
      </c>
      <c r="B42" s="42">
        <v>244</v>
      </c>
      <c r="C42" s="42" t="s">
        <v>41</v>
      </c>
      <c r="D42" s="43"/>
      <c r="E42" s="65">
        <f t="shared" si="8"/>
        <v>11044600</v>
      </c>
      <c r="F42" s="73">
        <f>F43+F50+F51</f>
        <v>3725460</v>
      </c>
      <c r="G42" s="73">
        <f t="shared" ref="G42:H42" si="11">G43+G50+G51</f>
        <v>3659370</v>
      </c>
      <c r="H42" s="73">
        <f t="shared" si="11"/>
        <v>3659770</v>
      </c>
      <c r="I42" s="11"/>
      <c r="J42" s="11"/>
    </row>
    <row r="43" spans="1:10" x14ac:dyDescent="0.25">
      <c r="A43" s="23" t="s">
        <v>65</v>
      </c>
      <c r="B43" s="159">
        <v>244</v>
      </c>
      <c r="C43" s="159">
        <v>220</v>
      </c>
      <c r="D43" s="20"/>
      <c r="E43" s="63">
        <f t="shared" si="8"/>
        <v>9439900</v>
      </c>
      <c r="F43" s="67">
        <f>SUM(F44:F49)</f>
        <v>3170760</v>
      </c>
      <c r="G43" s="67">
        <f t="shared" ref="G43:H43" si="12">SUM(G44:G49)</f>
        <v>3134370</v>
      </c>
      <c r="H43" s="67">
        <f t="shared" si="12"/>
        <v>3134770</v>
      </c>
    </row>
    <row r="44" spans="1:10" x14ac:dyDescent="0.25">
      <c r="A44" s="22" t="s">
        <v>46</v>
      </c>
      <c r="B44" s="159">
        <v>244</v>
      </c>
      <c r="C44" s="159">
        <v>221</v>
      </c>
      <c r="D44" s="20"/>
      <c r="E44" s="64">
        <f t="shared" si="8"/>
        <v>915000</v>
      </c>
      <c r="F44" s="66">
        <v>305000</v>
      </c>
      <c r="G44" s="66">
        <v>305000</v>
      </c>
      <c r="H44" s="66">
        <v>305000</v>
      </c>
      <c r="I44" s="40"/>
      <c r="J44" s="40"/>
    </row>
    <row r="45" spans="1:10" x14ac:dyDescent="0.25">
      <c r="A45" s="22" t="s">
        <v>47</v>
      </c>
      <c r="B45" s="159">
        <v>244</v>
      </c>
      <c r="C45" s="159">
        <v>222</v>
      </c>
      <c r="D45" s="20"/>
      <c r="E45" s="64">
        <f t="shared" si="8"/>
        <v>477000</v>
      </c>
      <c r="F45" s="76">
        <v>159000</v>
      </c>
      <c r="G45" s="76">
        <v>159000</v>
      </c>
      <c r="H45" s="76">
        <v>159000</v>
      </c>
      <c r="I45" s="40"/>
      <c r="J45" s="40"/>
    </row>
    <row r="46" spans="1:10" x14ac:dyDescent="0.25">
      <c r="A46" s="22" t="s">
        <v>48</v>
      </c>
      <c r="B46" s="159">
        <v>244</v>
      </c>
      <c r="C46" s="159">
        <v>223</v>
      </c>
      <c r="D46" s="20"/>
      <c r="E46" s="64">
        <f t="shared" si="8"/>
        <v>3370210</v>
      </c>
      <c r="F46" s="66">
        <v>1140070</v>
      </c>
      <c r="G46" s="66">
        <v>1115070</v>
      </c>
      <c r="H46" s="66">
        <v>1115070</v>
      </c>
    </row>
    <row r="47" spans="1:10" x14ac:dyDescent="0.25">
      <c r="A47" s="22" t="s">
        <v>49</v>
      </c>
      <c r="B47" s="159">
        <v>244</v>
      </c>
      <c r="C47" s="159">
        <v>224</v>
      </c>
      <c r="D47" s="20"/>
      <c r="E47" s="64">
        <f t="shared" si="8"/>
        <v>0</v>
      </c>
      <c r="F47" s="66">
        <v>0</v>
      </c>
      <c r="G47" s="66">
        <v>0</v>
      </c>
      <c r="H47" s="66">
        <v>0</v>
      </c>
    </row>
    <row r="48" spans="1:10" ht="30" customHeight="1" x14ac:dyDescent="0.25">
      <c r="A48" s="22" t="s">
        <v>50</v>
      </c>
      <c r="B48" s="159">
        <v>244</v>
      </c>
      <c r="C48" s="159">
        <v>225</v>
      </c>
      <c r="D48" s="20"/>
      <c r="E48" s="64">
        <f t="shared" si="8"/>
        <v>1947000</v>
      </c>
      <c r="F48" s="66">
        <v>649000</v>
      </c>
      <c r="G48" s="66">
        <v>649000</v>
      </c>
      <c r="H48" s="66">
        <v>649000</v>
      </c>
    </row>
    <row r="49" spans="1:10" x14ac:dyDescent="0.25">
      <c r="A49" s="22" t="s">
        <v>51</v>
      </c>
      <c r="B49" s="159">
        <v>244</v>
      </c>
      <c r="C49" s="159">
        <v>226</v>
      </c>
      <c r="D49" s="20"/>
      <c r="E49" s="64">
        <f t="shared" si="8"/>
        <v>2730690</v>
      </c>
      <c r="F49" s="66">
        <v>917690</v>
      </c>
      <c r="G49" s="76">
        <v>906300</v>
      </c>
      <c r="H49" s="76">
        <v>906700</v>
      </c>
    </row>
    <row r="50" spans="1:10" s="19" customFormat="1" x14ac:dyDescent="0.25">
      <c r="A50" s="23" t="s">
        <v>52</v>
      </c>
      <c r="B50" s="159">
        <v>244</v>
      </c>
      <c r="C50" s="159">
        <v>290</v>
      </c>
      <c r="D50" s="159"/>
      <c r="E50" s="63">
        <f t="shared" si="8"/>
        <v>0</v>
      </c>
      <c r="F50" s="72">
        <v>0</v>
      </c>
      <c r="G50" s="72">
        <v>0</v>
      </c>
      <c r="H50" s="72">
        <v>0</v>
      </c>
      <c r="I50" s="44"/>
      <c r="J50" s="45"/>
    </row>
    <row r="51" spans="1:10" x14ac:dyDescent="0.25">
      <c r="A51" s="23" t="s">
        <v>53</v>
      </c>
      <c r="B51" s="159">
        <v>244</v>
      </c>
      <c r="C51" s="159">
        <v>300</v>
      </c>
      <c r="D51" s="25"/>
      <c r="E51" s="63">
        <f t="shared" si="8"/>
        <v>1604700</v>
      </c>
      <c r="F51" s="67">
        <f>F52+F53</f>
        <v>554700</v>
      </c>
      <c r="G51" s="67">
        <f t="shared" ref="G51:H51" si="13">G52+G53</f>
        <v>525000</v>
      </c>
      <c r="H51" s="67">
        <f t="shared" si="13"/>
        <v>525000</v>
      </c>
    </row>
    <row r="52" spans="1:10" x14ac:dyDescent="0.25">
      <c r="A52" s="22" t="s">
        <v>54</v>
      </c>
      <c r="B52" s="159">
        <v>244</v>
      </c>
      <c r="C52" s="159">
        <v>310</v>
      </c>
      <c r="D52" s="25"/>
      <c r="E52" s="64">
        <f t="shared" si="8"/>
        <v>0</v>
      </c>
      <c r="F52" s="66">
        <v>0</v>
      </c>
      <c r="G52" s="66">
        <v>0</v>
      </c>
      <c r="H52" s="66">
        <v>0</v>
      </c>
    </row>
    <row r="53" spans="1:10" ht="45" x14ac:dyDescent="0.25">
      <c r="A53" s="22" t="s">
        <v>55</v>
      </c>
      <c r="B53" s="159">
        <v>244</v>
      </c>
      <c r="C53" s="159">
        <v>340</v>
      </c>
      <c r="D53" s="25"/>
      <c r="E53" s="64">
        <f t="shared" si="8"/>
        <v>1604700</v>
      </c>
      <c r="F53" s="66">
        <f>SUM(F54:F57)</f>
        <v>554700</v>
      </c>
      <c r="G53" s="66">
        <f t="shared" ref="G53:H53" si="14">SUM(G54:G57)</f>
        <v>525000</v>
      </c>
      <c r="H53" s="66">
        <f t="shared" si="14"/>
        <v>525000</v>
      </c>
    </row>
    <row r="54" spans="1:10" ht="30" x14ac:dyDescent="0.25">
      <c r="A54" s="22" t="s">
        <v>59</v>
      </c>
      <c r="B54" s="159">
        <v>244</v>
      </c>
      <c r="C54" s="159">
        <v>341</v>
      </c>
      <c r="D54" s="25"/>
      <c r="E54" s="64">
        <f t="shared" si="8"/>
        <v>0</v>
      </c>
      <c r="F54" s="66">
        <v>0</v>
      </c>
      <c r="G54" s="66">
        <v>0</v>
      </c>
      <c r="H54" s="66">
        <v>0</v>
      </c>
    </row>
    <row r="55" spans="1:10" x14ac:dyDescent="0.25">
      <c r="A55" s="22" t="s">
        <v>56</v>
      </c>
      <c r="B55" s="159">
        <v>244</v>
      </c>
      <c r="C55" s="159">
        <v>342</v>
      </c>
      <c r="D55" s="25"/>
      <c r="E55" s="64">
        <f t="shared" si="8"/>
        <v>0</v>
      </c>
      <c r="F55" s="66">
        <v>0</v>
      </c>
      <c r="G55" s="66">
        <v>0</v>
      </c>
      <c r="H55" s="66">
        <v>0</v>
      </c>
    </row>
    <row r="56" spans="1:10" x14ac:dyDescent="0.25">
      <c r="A56" s="22" t="s">
        <v>57</v>
      </c>
      <c r="B56" s="159">
        <v>244</v>
      </c>
      <c r="C56" s="159">
        <v>343</v>
      </c>
      <c r="D56" s="25"/>
      <c r="E56" s="64">
        <f t="shared" si="8"/>
        <v>15000</v>
      </c>
      <c r="F56" s="66">
        <v>5000</v>
      </c>
      <c r="G56" s="66">
        <v>5000</v>
      </c>
      <c r="H56" s="66">
        <v>5000</v>
      </c>
    </row>
    <row r="57" spans="1:10" ht="30" x14ac:dyDescent="0.25">
      <c r="A57" s="22" t="s">
        <v>58</v>
      </c>
      <c r="B57" s="159">
        <v>244</v>
      </c>
      <c r="C57" s="159">
        <v>344</v>
      </c>
      <c r="D57" s="25"/>
      <c r="E57" s="64">
        <f t="shared" si="8"/>
        <v>1589700</v>
      </c>
      <c r="F57" s="66">
        <f>520000+29700</f>
        <v>549700</v>
      </c>
      <c r="G57" s="66">
        <v>520000</v>
      </c>
      <c r="H57" s="66">
        <v>520000</v>
      </c>
    </row>
    <row r="58" spans="1:10" s="19" customFormat="1" ht="28.5" x14ac:dyDescent="0.25">
      <c r="A58" s="42" t="s">
        <v>84</v>
      </c>
      <c r="B58" s="42">
        <v>850</v>
      </c>
      <c r="C58" s="42" t="s">
        <v>41</v>
      </c>
      <c r="D58" s="42"/>
      <c r="E58" s="65">
        <f t="shared" si="8"/>
        <v>1173000</v>
      </c>
      <c r="F58" s="65">
        <f>SUM(F59:F60)</f>
        <v>391000</v>
      </c>
      <c r="G58" s="65">
        <f t="shared" ref="G58:H58" si="15">SUM(G59:G60)</f>
        <v>391000</v>
      </c>
      <c r="H58" s="65">
        <f t="shared" si="15"/>
        <v>391000</v>
      </c>
      <c r="I58" s="44"/>
      <c r="J58" s="45"/>
    </row>
    <row r="59" spans="1:10" s="19" customFormat="1" ht="30" x14ac:dyDescent="0.25">
      <c r="A59" s="22" t="s">
        <v>81</v>
      </c>
      <c r="B59" s="159">
        <v>851</v>
      </c>
      <c r="C59" s="159">
        <v>290</v>
      </c>
      <c r="D59" s="159"/>
      <c r="E59" s="63">
        <f t="shared" si="8"/>
        <v>1143000</v>
      </c>
      <c r="F59" s="63">
        <v>381000</v>
      </c>
      <c r="G59" s="63">
        <v>381000</v>
      </c>
      <c r="H59" s="63">
        <v>381000</v>
      </c>
      <c r="I59" s="34"/>
      <c r="J59" s="35"/>
    </row>
    <row r="60" spans="1:10" s="19" customFormat="1" x14ac:dyDescent="0.25">
      <c r="A60" s="22" t="s">
        <v>78</v>
      </c>
      <c r="B60" s="159">
        <v>852</v>
      </c>
      <c r="C60" s="159">
        <v>290</v>
      </c>
      <c r="D60" s="159"/>
      <c r="E60" s="63">
        <f t="shared" si="8"/>
        <v>30000</v>
      </c>
      <c r="F60" s="63">
        <v>10000</v>
      </c>
      <c r="G60" s="63">
        <v>10000</v>
      </c>
      <c r="H60" s="63">
        <v>10000</v>
      </c>
      <c r="I60" s="34"/>
      <c r="J60" s="35"/>
    </row>
    <row r="61" spans="1:10" x14ac:dyDescent="0.25">
      <c r="A61" s="22" t="s">
        <v>63</v>
      </c>
      <c r="B61" s="159" t="s">
        <v>41</v>
      </c>
      <c r="C61" s="159" t="s">
        <v>41</v>
      </c>
      <c r="D61" s="25"/>
      <c r="E61" s="64">
        <f t="shared" si="8"/>
        <v>0</v>
      </c>
      <c r="F61" s="66">
        <v>0</v>
      </c>
      <c r="G61" s="66">
        <v>0</v>
      </c>
      <c r="H61" s="66">
        <v>0</v>
      </c>
    </row>
  </sheetData>
  <mergeCells count="9">
    <mergeCell ref="A34:H34"/>
    <mergeCell ref="A1:H1"/>
    <mergeCell ref="A6:H6"/>
    <mergeCell ref="F3:H3"/>
    <mergeCell ref="A3:A4"/>
    <mergeCell ref="C3:C4"/>
    <mergeCell ref="D3:D4"/>
    <mergeCell ref="E3:E4"/>
    <mergeCell ref="B3:B4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59" fitToHeight="0" orientation="portrait" horizontalDpi="4294967293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4" workbookViewId="0">
      <selection activeCell="H12" sqref="H12"/>
    </sheetView>
  </sheetViews>
  <sheetFormatPr defaultRowHeight="15" x14ac:dyDescent="0.25"/>
  <cols>
    <col min="1" max="1" width="45.28515625" style="11" customWidth="1"/>
    <col min="2" max="2" width="10.140625" style="11" customWidth="1"/>
    <col min="3" max="3" width="9.140625" style="26"/>
    <col min="4" max="5" width="14.42578125" style="26" hidden="1" customWidth="1"/>
    <col min="6" max="6" width="1" style="26" hidden="1" customWidth="1"/>
    <col min="7" max="7" width="12.7109375" style="26" customWidth="1"/>
    <col min="8" max="8" width="12.85546875" style="11" customWidth="1"/>
    <col min="9" max="9" width="13.28515625" style="11" customWidth="1"/>
    <col min="10" max="10" width="13.140625" style="11" customWidth="1"/>
    <col min="11" max="16384" width="9.140625" style="11"/>
  </cols>
  <sheetData>
    <row r="1" spans="1:10" ht="30.75" customHeight="1" x14ac:dyDescent="0.25">
      <c r="A1" s="185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3" spans="1:10" ht="66" customHeight="1" x14ac:dyDescent="0.25">
      <c r="A3" s="185" t="s">
        <v>68</v>
      </c>
      <c r="B3" s="185"/>
      <c r="C3" s="185"/>
      <c r="D3" s="185"/>
      <c r="E3" s="185"/>
      <c r="F3" s="185"/>
      <c r="G3" s="185"/>
      <c r="H3" s="185"/>
      <c r="I3" s="185"/>
      <c r="J3" s="185"/>
    </row>
    <row r="5" spans="1:10" ht="14.25" customHeight="1" x14ac:dyDescent="0.25">
      <c r="A5" s="226" t="s">
        <v>38</v>
      </c>
      <c r="B5" s="226" t="s">
        <v>80</v>
      </c>
      <c r="C5" s="226" t="s">
        <v>40</v>
      </c>
      <c r="D5" s="226" t="s">
        <v>61</v>
      </c>
      <c r="E5" s="221" t="s">
        <v>105</v>
      </c>
      <c r="F5" s="222"/>
      <c r="G5" s="231"/>
      <c r="H5" s="230" t="s">
        <v>106</v>
      </c>
      <c r="I5" s="230"/>
      <c r="J5" s="230"/>
    </row>
    <row r="6" spans="1:10" ht="17.25" customHeight="1" x14ac:dyDescent="0.25">
      <c r="A6" s="227"/>
      <c r="B6" s="227"/>
      <c r="C6" s="227"/>
      <c r="D6" s="228"/>
      <c r="E6" s="232"/>
      <c r="F6" s="233"/>
      <c r="G6" s="234"/>
      <c r="H6" s="49" t="s">
        <v>102</v>
      </c>
      <c r="I6" s="49" t="s">
        <v>103</v>
      </c>
      <c r="J6" s="49" t="s">
        <v>104</v>
      </c>
    </row>
    <row r="7" spans="1:10" s="24" customFormat="1" ht="14.25" x14ac:dyDescent="0.25">
      <c r="A7" s="18">
        <v>1</v>
      </c>
      <c r="B7" s="33">
        <v>2</v>
      </c>
      <c r="C7" s="18">
        <v>3</v>
      </c>
      <c r="D7" s="18">
        <v>3</v>
      </c>
      <c r="E7" s="18">
        <v>4</v>
      </c>
      <c r="F7" s="18">
        <v>5</v>
      </c>
      <c r="G7" s="18">
        <v>4</v>
      </c>
      <c r="H7" s="49">
        <v>5</v>
      </c>
      <c r="I7" s="49">
        <v>6</v>
      </c>
      <c r="J7" s="49">
        <v>7</v>
      </c>
    </row>
    <row r="8" spans="1:10" ht="26.25" customHeight="1" x14ac:dyDescent="0.25">
      <c r="A8" s="22" t="s">
        <v>62</v>
      </c>
      <c r="B8" s="22"/>
      <c r="C8" s="18" t="s">
        <v>41</v>
      </c>
      <c r="D8" s="20"/>
      <c r="E8" s="20"/>
      <c r="F8" s="20"/>
      <c r="G8" s="64">
        <f>H8+I8+J8</f>
        <v>0</v>
      </c>
      <c r="H8" s="68">
        <v>0</v>
      </c>
      <c r="I8" s="66">
        <v>0</v>
      </c>
      <c r="J8" s="66">
        <v>0</v>
      </c>
    </row>
    <row r="9" spans="1:10" x14ac:dyDescent="0.25">
      <c r="A9" s="23" t="s">
        <v>64</v>
      </c>
      <c r="B9" s="23"/>
      <c r="C9" s="18" t="s">
        <v>41</v>
      </c>
      <c r="D9" s="20"/>
      <c r="E9" s="20"/>
      <c r="F9" s="20"/>
      <c r="G9" s="63">
        <f t="shared" ref="G9:G10" si="0">H9+I9+J9</f>
        <v>3272000</v>
      </c>
      <c r="H9" s="63">
        <v>1214000</v>
      </c>
      <c r="I9" s="67">
        <v>1035000</v>
      </c>
      <c r="J9" s="67">
        <v>1023000</v>
      </c>
    </row>
    <row r="10" spans="1:10" ht="23.25" customHeight="1" x14ac:dyDescent="0.25">
      <c r="A10" s="23" t="s">
        <v>42</v>
      </c>
      <c r="B10" s="23"/>
      <c r="C10" s="18" t="s">
        <v>41</v>
      </c>
      <c r="D10" s="20"/>
      <c r="E10" s="20"/>
      <c r="F10" s="20"/>
      <c r="G10" s="63">
        <f t="shared" si="0"/>
        <v>3272000</v>
      </c>
      <c r="H10" s="63">
        <f>H11</f>
        <v>1214000</v>
      </c>
      <c r="I10" s="67">
        <f>I11</f>
        <v>1035000</v>
      </c>
      <c r="J10" s="67">
        <f>J11</f>
        <v>1023000</v>
      </c>
    </row>
    <row r="11" spans="1:10" s="19" customFormat="1" ht="29.25" x14ac:dyDescent="0.25">
      <c r="A11" s="42" t="s">
        <v>83</v>
      </c>
      <c r="B11" s="42">
        <v>110</v>
      </c>
      <c r="C11" s="42" t="s">
        <v>41</v>
      </c>
      <c r="D11" s="42"/>
      <c r="E11" s="42"/>
      <c r="F11" s="44"/>
      <c r="G11" s="65">
        <f>H11+I11+J11</f>
        <v>3272000</v>
      </c>
      <c r="H11" s="65">
        <f>H12+H13</f>
        <v>1214000</v>
      </c>
      <c r="I11" s="65">
        <f t="shared" ref="I11:J11" si="1">I12+I13</f>
        <v>1035000</v>
      </c>
      <c r="J11" s="65">
        <f t="shared" si="1"/>
        <v>1023000</v>
      </c>
    </row>
    <row r="12" spans="1:10" x14ac:dyDescent="0.25">
      <c r="A12" s="22" t="s">
        <v>44</v>
      </c>
      <c r="B12" s="37">
        <v>112</v>
      </c>
      <c r="C12" s="18">
        <v>212</v>
      </c>
      <c r="D12" s="20"/>
      <c r="E12" s="20"/>
      <c r="F12" s="36"/>
      <c r="G12" s="64">
        <f>H12+I12+J12</f>
        <v>3272000</v>
      </c>
      <c r="H12" s="64">
        <f>1114000+100000</f>
        <v>1214000</v>
      </c>
      <c r="I12" s="66">
        <v>1035000</v>
      </c>
      <c r="J12" s="66">
        <v>1023000</v>
      </c>
    </row>
    <row r="13" spans="1:10" ht="28.5" customHeight="1" x14ac:dyDescent="0.25">
      <c r="A13" s="22" t="s">
        <v>45</v>
      </c>
      <c r="B13" s="47">
        <v>119</v>
      </c>
      <c r="C13" s="47">
        <v>213</v>
      </c>
      <c r="D13" s="20"/>
      <c r="E13" s="20"/>
      <c r="F13" s="20"/>
      <c r="G13" s="64">
        <f t="shared" ref="G13:G14" si="2">H13+I13+J13</f>
        <v>0</v>
      </c>
      <c r="H13" s="64">
        <v>0</v>
      </c>
      <c r="I13" s="66">
        <v>0</v>
      </c>
      <c r="J13" s="66">
        <v>0</v>
      </c>
    </row>
    <row r="14" spans="1:10" ht="30.75" customHeight="1" x14ac:dyDescent="0.25">
      <c r="A14" s="22" t="s">
        <v>63</v>
      </c>
      <c r="B14" s="47" t="s">
        <v>41</v>
      </c>
      <c r="C14" s="18" t="s">
        <v>41</v>
      </c>
      <c r="D14" s="25"/>
      <c r="E14" s="25"/>
      <c r="F14" s="39"/>
      <c r="G14" s="64">
        <f t="shared" si="2"/>
        <v>0</v>
      </c>
      <c r="H14" s="69">
        <v>0</v>
      </c>
      <c r="I14" s="66">
        <v>0</v>
      </c>
      <c r="J14" s="66">
        <v>0</v>
      </c>
    </row>
    <row r="17" spans="1:10" ht="49.5" customHeight="1" x14ac:dyDescent="0.25">
      <c r="A17" s="185" t="s">
        <v>69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9" spans="1:10" x14ac:dyDescent="0.25">
      <c r="A19" s="226" t="s">
        <v>38</v>
      </c>
      <c r="B19" s="226" t="s">
        <v>80</v>
      </c>
      <c r="C19" s="226" t="s">
        <v>40</v>
      </c>
      <c r="D19" s="226" t="s">
        <v>61</v>
      </c>
      <c r="E19" s="221" t="s">
        <v>105</v>
      </c>
      <c r="F19" s="222"/>
      <c r="G19" s="231"/>
      <c r="H19" s="230" t="s">
        <v>106</v>
      </c>
      <c r="I19" s="230"/>
      <c r="J19" s="230"/>
    </row>
    <row r="20" spans="1:10" x14ac:dyDescent="0.25">
      <c r="A20" s="227"/>
      <c r="B20" s="227"/>
      <c r="C20" s="227"/>
      <c r="D20" s="228"/>
      <c r="E20" s="232"/>
      <c r="F20" s="233"/>
      <c r="G20" s="234"/>
      <c r="H20" s="49" t="s">
        <v>102</v>
      </c>
      <c r="I20" s="49" t="s">
        <v>103</v>
      </c>
      <c r="J20" s="49" t="s">
        <v>104</v>
      </c>
    </row>
    <row r="21" spans="1:10" x14ac:dyDescent="0.25">
      <c r="A21" s="18">
        <v>1</v>
      </c>
      <c r="B21" s="33">
        <v>2</v>
      </c>
      <c r="C21" s="18">
        <v>3</v>
      </c>
      <c r="D21" s="18">
        <v>3</v>
      </c>
      <c r="E21" s="18">
        <v>4</v>
      </c>
      <c r="F21" s="18">
        <v>5</v>
      </c>
      <c r="G21" s="18">
        <v>4</v>
      </c>
      <c r="H21" s="49">
        <v>5</v>
      </c>
      <c r="I21" s="49">
        <v>6</v>
      </c>
      <c r="J21" s="49">
        <v>7</v>
      </c>
    </row>
    <row r="22" spans="1:10" ht="26.25" customHeight="1" x14ac:dyDescent="0.25">
      <c r="A22" s="22" t="s">
        <v>62</v>
      </c>
      <c r="B22" s="22"/>
      <c r="C22" s="18" t="s">
        <v>41</v>
      </c>
      <c r="D22" s="20"/>
      <c r="E22" s="20"/>
      <c r="F22" s="20"/>
      <c r="G22" s="64">
        <f>H22+I22+J22</f>
        <v>0</v>
      </c>
      <c r="H22" s="68">
        <v>0</v>
      </c>
      <c r="I22" s="68">
        <v>0</v>
      </c>
      <c r="J22" s="68">
        <v>0</v>
      </c>
    </row>
    <row r="23" spans="1:10" x14ac:dyDescent="0.25">
      <c r="A23" s="23" t="s">
        <v>64</v>
      </c>
      <c r="B23" s="23"/>
      <c r="C23" s="18" t="s">
        <v>41</v>
      </c>
      <c r="D23" s="20"/>
      <c r="E23" s="20"/>
      <c r="F23" s="20"/>
      <c r="G23" s="64">
        <f t="shared" ref="G23:G24" si="3">H23+I23+J23</f>
        <v>675000</v>
      </c>
      <c r="H23" s="63">
        <v>225000</v>
      </c>
      <c r="I23" s="63">
        <v>225000</v>
      </c>
      <c r="J23" s="63">
        <v>225000</v>
      </c>
    </row>
    <row r="24" spans="1:10" ht="20.25" customHeight="1" x14ac:dyDescent="0.25">
      <c r="A24" s="23" t="s">
        <v>42</v>
      </c>
      <c r="B24" s="23"/>
      <c r="C24" s="18" t="s">
        <v>41</v>
      </c>
      <c r="D24" s="20"/>
      <c r="E24" s="20"/>
      <c r="F24" s="20"/>
      <c r="G24" s="64">
        <f t="shared" si="3"/>
        <v>675000</v>
      </c>
      <c r="H24" s="63">
        <f>H25</f>
        <v>225000</v>
      </c>
      <c r="I24" s="63">
        <f>I25</f>
        <v>225000</v>
      </c>
      <c r="J24" s="63">
        <f>J25</f>
        <v>225000</v>
      </c>
    </row>
    <row r="25" spans="1:10" s="19" customFormat="1" ht="29.25" x14ac:dyDescent="0.25">
      <c r="A25" s="42" t="s">
        <v>83</v>
      </c>
      <c r="B25" s="42">
        <v>110</v>
      </c>
      <c r="C25" s="42" t="s">
        <v>41</v>
      </c>
      <c r="D25" s="42"/>
      <c r="E25" s="42"/>
      <c r="F25" s="44"/>
      <c r="G25" s="65">
        <f>H25+I25+J25</f>
        <v>675000</v>
      </c>
      <c r="H25" s="65">
        <f>SUM(H26:H27)</f>
        <v>225000</v>
      </c>
      <c r="I25" s="65">
        <f>SUM(I26:I27)</f>
        <v>225000</v>
      </c>
      <c r="J25" s="65">
        <f>SUM(J26:J27)</f>
        <v>225000</v>
      </c>
    </row>
    <row r="26" spans="1:10" x14ac:dyDescent="0.25">
      <c r="A26" s="22" t="s">
        <v>44</v>
      </c>
      <c r="B26" s="38">
        <v>112</v>
      </c>
      <c r="C26" s="18">
        <v>212</v>
      </c>
      <c r="D26" s="20"/>
      <c r="E26" s="20"/>
      <c r="F26" s="20"/>
      <c r="G26" s="64">
        <f>H26+I26+J26</f>
        <v>525000</v>
      </c>
      <c r="H26" s="64">
        <v>175000</v>
      </c>
      <c r="I26" s="64">
        <v>175000</v>
      </c>
      <c r="J26" s="64">
        <v>175000</v>
      </c>
    </row>
    <row r="27" spans="1:10" ht="28.5" customHeight="1" x14ac:dyDescent="0.25">
      <c r="A27" s="22" t="s">
        <v>45</v>
      </c>
      <c r="B27" s="38">
        <v>119</v>
      </c>
      <c r="C27" s="18">
        <v>213</v>
      </c>
      <c r="D27" s="20"/>
      <c r="E27" s="20"/>
      <c r="F27" s="20"/>
      <c r="G27" s="64">
        <f t="shared" ref="G27:G28" si="4">H27+I27+J27</f>
        <v>150000</v>
      </c>
      <c r="H27" s="64">
        <v>50000</v>
      </c>
      <c r="I27" s="64">
        <v>50000</v>
      </c>
      <c r="J27" s="64">
        <v>50000</v>
      </c>
    </row>
    <row r="28" spans="1:10" ht="27" customHeight="1" x14ac:dyDescent="0.25">
      <c r="A28" s="22" t="s">
        <v>63</v>
      </c>
      <c r="B28" s="47" t="s">
        <v>41</v>
      </c>
      <c r="C28" s="18" t="s">
        <v>41</v>
      </c>
      <c r="D28" s="25"/>
      <c r="E28" s="25"/>
      <c r="F28" s="25"/>
      <c r="G28" s="64">
        <f t="shared" si="4"/>
        <v>0</v>
      </c>
      <c r="H28" s="69">
        <v>0</v>
      </c>
      <c r="I28" s="69">
        <v>0</v>
      </c>
      <c r="J28" s="69">
        <v>0</v>
      </c>
    </row>
  </sheetData>
  <mergeCells count="15">
    <mergeCell ref="A1:J1"/>
    <mergeCell ref="A3:J3"/>
    <mergeCell ref="H5:J5"/>
    <mergeCell ref="A19:A20"/>
    <mergeCell ref="C19:C20"/>
    <mergeCell ref="D19:D20"/>
    <mergeCell ref="E19:G20"/>
    <mergeCell ref="B19:B20"/>
    <mergeCell ref="A17:J17"/>
    <mergeCell ref="H19:J19"/>
    <mergeCell ref="A5:A6"/>
    <mergeCell ref="C5:C6"/>
    <mergeCell ref="D5:D6"/>
    <mergeCell ref="E5:G6"/>
    <mergeCell ref="B5:B6"/>
  </mergeCells>
  <phoneticPr fontId="12" type="noConversion"/>
  <pageMargins left="1.1811023622047245" right="0.39370078740157483" top="0.39370078740157483" bottom="0.39370078740157483" header="0.51181102362204722" footer="0.51181102362204722"/>
  <pageSetup paperSize="9" scale="73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тит.лист</vt:lpstr>
      <vt:lpstr>раздел 2</vt:lpstr>
      <vt:lpstr>Т.1</vt:lpstr>
      <vt:lpstr>Т.2 на 2017</vt:lpstr>
      <vt:lpstr>Т.2 на 2018</vt:lpstr>
      <vt:lpstr>Т.2 на 2019</vt:lpstr>
      <vt:lpstr>Т.2.1</vt:lpstr>
      <vt:lpstr>ф.3</vt:lpstr>
      <vt:lpstr>ф.4</vt:lpstr>
      <vt:lpstr>ф.4 (2)</vt:lpstr>
      <vt:lpstr>ф.4 (3)</vt:lpstr>
      <vt:lpstr>ф.4 (4)</vt:lpstr>
      <vt:lpstr>ф.4 (5)</vt:lpstr>
      <vt:lpstr>ф.5</vt:lpstr>
      <vt:lpstr>ф.6</vt:lpstr>
      <vt:lpstr>Т.3</vt:lpstr>
      <vt:lpstr>Т.4</vt:lpstr>
      <vt:lpstr>ф.6!Область_печати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Бурячинская ИВ</dc:creator>
  <cp:lastModifiedBy>Наталья Николаевна Гревцева</cp:lastModifiedBy>
  <cp:lastPrinted>2017-03-29T09:44:36Z</cp:lastPrinted>
  <dcterms:created xsi:type="dcterms:W3CDTF">2012-12-27T03:05:42Z</dcterms:created>
  <dcterms:modified xsi:type="dcterms:W3CDTF">2017-04-03T07:44:33Z</dcterms:modified>
</cp:coreProperties>
</file>